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Lehre\"/>
    </mc:Choice>
  </mc:AlternateContent>
  <bookViews>
    <workbookView xWindow="120" yWindow="75" windowWidth="8760" windowHeight="4245"/>
  </bookViews>
  <sheets>
    <sheet name="Kniebeuge" sheetId="6" r:id="rId1"/>
    <sheet name="Leistung" sheetId="8" r:id="rId2"/>
    <sheet name="Formeln" sheetId="2" r:id="rId3"/>
    <sheet name="Geradengleichung" sheetId="3" r:id="rId4"/>
    <sheet name="s - v- a" sheetId="9" r:id="rId5"/>
    <sheet name="a - v- s" sheetId="5" r:id="rId6"/>
    <sheet name="Geschw. Laufen" sheetId="10" r:id="rId7"/>
  </sheets>
  <externalReferences>
    <externalReference r:id="rId8"/>
  </externalReferences>
  <definedNames>
    <definedName name="__c">[1]Geradengleichung!$C$65</definedName>
    <definedName name="_c">Geradengleichung!$C$65</definedName>
    <definedName name="d" localSheetId="4">[1]Geradengleichung!$F$3</definedName>
    <definedName name="d">Geradengleichung!$F$3</definedName>
    <definedName name="dt" localSheetId="4">[1]Geradengleichung!$C$29</definedName>
    <definedName name="dt">Geradengleichung!$C$29</definedName>
    <definedName name="k" localSheetId="4">[1]Geradengleichung!$F$2</definedName>
    <definedName name="k">Geradengleichung!$F$2</definedName>
  </definedNames>
  <calcPr calcId="162913"/>
</workbook>
</file>

<file path=xl/calcChain.xml><?xml version="1.0" encoding="utf-8"?>
<calcChain xmlns="http://schemas.openxmlformats.org/spreadsheetml/2006/main">
  <c r="G23" i="6" l="1"/>
  <c r="E19" i="6"/>
  <c r="D19" i="6"/>
  <c r="D6" i="6"/>
  <c r="G20" i="6" s="1"/>
  <c r="D7" i="6"/>
  <c r="G21" i="6" s="1"/>
  <c r="D8" i="6"/>
  <c r="G22" i="6" s="1"/>
  <c r="D5" i="6"/>
  <c r="G19" i="6" s="1"/>
  <c r="G24" i="6" l="1"/>
  <c r="G25" i="6" s="1"/>
  <c r="D12" i="6"/>
  <c r="D13" i="6"/>
  <c r="D11" i="6"/>
  <c r="G26" i="6" l="1"/>
  <c r="I33" i="10"/>
  <c r="I34" i="10" s="1"/>
  <c r="I32" i="10"/>
  <c r="I20" i="10"/>
  <c r="I21" i="10" s="1"/>
  <c r="I22" i="10" s="1"/>
  <c r="I23" i="10" s="1"/>
  <c r="I9" i="10"/>
  <c r="I6" i="10"/>
  <c r="G27" i="6" l="1"/>
  <c r="I11" i="10"/>
  <c r="I12" i="10" s="1"/>
  <c r="I13" i="10"/>
  <c r="I14" i="10" s="1"/>
  <c r="D73" i="3"/>
  <c r="D74" i="3"/>
  <c r="D72" i="3"/>
  <c r="D71" i="3"/>
  <c r="D70" i="3"/>
  <c r="C6" i="5" l="1"/>
  <c r="C12" i="5" s="1"/>
  <c r="C16" i="9"/>
  <c r="D15" i="9" s="1"/>
  <c r="C15" i="9"/>
  <c r="D14" i="9" s="1"/>
  <c r="C14" i="9"/>
  <c r="C13" i="9"/>
  <c r="C12" i="9"/>
  <c r="D11" i="9" s="1"/>
  <c r="C11" i="9"/>
  <c r="C10" i="9"/>
  <c r="C9" i="9"/>
  <c r="C8" i="9"/>
  <c r="D7" i="9" s="1"/>
  <c r="C7" i="9"/>
  <c r="C6" i="9"/>
  <c r="D10" i="9" l="1"/>
  <c r="D8" i="9"/>
  <c r="D12" i="9"/>
  <c r="D9" i="9"/>
  <c r="D13" i="9"/>
  <c r="D12" i="5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E70" i="3"/>
  <c r="E71" i="3" s="1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34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F7" i="3"/>
  <c r="F8" i="3"/>
  <c r="F9" i="3"/>
  <c r="F10" i="3"/>
  <c r="F11" i="3"/>
  <c r="F12" i="3"/>
  <c r="F13" i="3"/>
  <c r="F14" i="3"/>
  <c r="F15" i="3"/>
  <c r="F16" i="3"/>
  <c r="F6" i="3"/>
  <c r="O3" i="8"/>
  <c r="I8" i="8" s="1"/>
  <c r="I3" i="8" s="1"/>
  <c r="O5" i="8"/>
  <c r="O7" i="8"/>
  <c r="O4" i="8" s="1"/>
  <c r="X7" i="8"/>
  <c r="X8" i="8" s="1"/>
  <c r="O12" i="8"/>
  <c r="B22" i="6"/>
  <c r="D20" i="6" s="1"/>
  <c r="A12" i="5"/>
  <c r="O10" i="8"/>
  <c r="C22" i="6"/>
  <c r="E20" i="6" s="1"/>
  <c r="O6" i="8" l="1"/>
  <c r="I4" i="8" s="1"/>
  <c r="I9" i="8" s="1"/>
  <c r="I14" i="8" s="1"/>
  <c r="B23" i="6"/>
  <c r="C23" i="6"/>
  <c r="O11" i="8"/>
  <c r="O13" i="8" s="1"/>
  <c r="I5" i="8" s="1"/>
  <c r="D13" i="5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I13" i="8"/>
  <c r="O9" i="8"/>
  <c r="A13" i="5"/>
  <c r="E72" i="3"/>
  <c r="E73" i="3" s="1"/>
  <c r="E74" i="3" s="1"/>
  <c r="D21" i="6" l="1"/>
  <c r="E21" i="6"/>
  <c r="I6" i="8"/>
  <c r="I10" i="8"/>
  <c r="I11" i="8" s="1"/>
  <c r="C24" i="6"/>
  <c r="E22" i="6" s="1"/>
  <c r="B24" i="6"/>
  <c r="D22" i="6" s="1"/>
  <c r="A14" i="5"/>
  <c r="D23" i="6" l="1"/>
  <c r="B30" i="6" s="1"/>
  <c r="G3" i="6" s="1"/>
  <c r="E23" i="6"/>
  <c r="C30" i="6" s="1"/>
  <c r="I15" i="8"/>
  <c r="I16" i="8" s="1"/>
  <c r="I17" i="8" s="1"/>
  <c r="A15" i="5"/>
  <c r="B26" i="6" l="1"/>
  <c r="B27" i="6" s="1"/>
  <c r="C29" i="6"/>
  <c r="B29" i="6"/>
  <c r="G2" i="6" s="1"/>
  <c r="C26" i="6"/>
  <c r="C31" i="6"/>
  <c r="B31" i="6"/>
  <c r="G4" i="6" s="1"/>
  <c r="A16" i="5"/>
  <c r="A17" i="5" l="1"/>
  <c r="A18" i="5" l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<sst xmlns="http://schemas.openxmlformats.org/spreadsheetml/2006/main" count="523" uniqueCount="355">
  <si>
    <t>Zeit</t>
  </si>
  <si>
    <t>s</t>
  </si>
  <si>
    <t>t</t>
  </si>
  <si>
    <t>m</t>
  </si>
  <si>
    <t>Geschwindigkeit</t>
  </si>
  <si>
    <t>v</t>
  </si>
  <si>
    <t>m/s</t>
  </si>
  <si>
    <t>Beschleunigung</t>
  </si>
  <si>
    <t>a</t>
  </si>
  <si>
    <t>m/s²</t>
  </si>
  <si>
    <t>Kraft</t>
  </si>
  <si>
    <t>F</t>
  </si>
  <si>
    <t>N</t>
  </si>
  <si>
    <t>Masse</t>
  </si>
  <si>
    <t>kg</t>
  </si>
  <si>
    <t>kgm/s²</t>
  </si>
  <si>
    <t>F=m*a</t>
  </si>
  <si>
    <t>a=F/m</t>
  </si>
  <si>
    <t>Ns</t>
  </si>
  <si>
    <t>kgm/s</t>
  </si>
  <si>
    <t>I=F*t</t>
  </si>
  <si>
    <t>Arbeit</t>
  </si>
  <si>
    <t>W</t>
  </si>
  <si>
    <t>Nm</t>
  </si>
  <si>
    <t>kgm²/s²</t>
  </si>
  <si>
    <t>W=F*s</t>
  </si>
  <si>
    <t>Leistung</t>
  </si>
  <si>
    <t>P</t>
  </si>
  <si>
    <t>Nm/s</t>
  </si>
  <si>
    <t>J</t>
  </si>
  <si>
    <t>Sekunde</t>
  </si>
  <si>
    <t>Newton</t>
  </si>
  <si>
    <t>Joule</t>
  </si>
  <si>
    <t>Watt</t>
  </si>
  <si>
    <t>P=F*v</t>
  </si>
  <si>
    <t>P=W/t</t>
  </si>
  <si>
    <t>W=P*t</t>
  </si>
  <si>
    <t>Drehmoment</t>
  </si>
  <si>
    <t>M</t>
  </si>
  <si>
    <t>M=F*s</t>
  </si>
  <si>
    <t>Name</t>
  </si>
  <si>
    <t>Formelzeichen</t>
  </si>
  <si>
    <t>SI-Einheit</t>
  </si>
  <si>
    <t>Einheit</t>
  </si>
  <si>
    <t>abgeleitete Einheit</t>
  </si>
  <si>
    <t>Berechnung abwärts</t>
  </si>
  <si>
    <t>Berechnung aufwärts</t>
  </si>
  <si>
    <t>v=konstant</t>
  </si>
  <si>
    <t>Voraussetzung abwärts</t>
  </si>
  <si>
    <t>Voraussetzung aufwärts</t>
  </si>
  <si>
    <t>v=linear</t>
  </si>
  <si>
    <t>s=linear</t>
  </si>
  <si>
    <t>v=∆s/∆t</t>
  </si>
  <si>
    <t>a=∆v/∆t</t>
  </si>
  <si>
    <t>Kraftstoß/Impuls</t>
  </si>
  <si>
    <r>
      <t>v=a*t+v</t>
    </r>
    <r>
      <rPr>
        <vertAlign val="subscript"/>
        <sz val="14"/>
        <color indexed="12"/>
        <rFont val="Arial"/>
        <family val="2"/>
      </rPr>
      <t>0</t>
    </r>
  </si>
  <si>
    <t>a=konstant</t>
  </si>
  <si>
    <t>F=I/t</t>
  </si>
  <si>
    <t>F=W/s</t>
  </si>
  <si>
    <t>F=P/v</t>
  </si>
  <si>
    <t>F=konstant</t>
  </si>
  <si>
    <t>I=m*∆v</t>
  </si>
  <si>
    <r>
      <t>s=v*t+s</t>
    </r>
    <r>
      <rPr>
        <vertAlign val="subscript"/>
        <sz val="14"/>
        <color indexed="12"/>
        <rFont val="Arial"/>
        <family val="2"/>
      </rPr>
      <t>0</t>
    </r>
  </si>
  <si>
    <t>F=M/s</t>
  </si>
  <si>
    <t>W=m*g*h</t>
  </si>
  <si>
    <t>W=m*v²/2</t>
  </si>
  <si>
    <t>∆</t>
  </si>
  <si>
    <t>delta</t>
  </si>
  <si>
    <t>Druck</t>
  </si>
  <si>
    <t>Pa</t>
  </si>
  <si>
    <t>Pascal</t>
  </si>
  <si>
    <t>Frequenz</t>
  </si>
  <si>
    <t>Hz</t>
  </si>
  <si>
    <t>1/s</t>
  </si>
  <si>
    <t>p</t>
  </si>
  <si>
    <t>Skalar</t>
  </si>
  <si>
    <t>Vektor</t>
  </si>
  <si>
    <t>potentielle Energie</t>
  </si>
  <si>
    <t>kinetische Energie</t>
  </si>
  <si>
    <t>f</t>
  </si>
  <si>
    <t>Hertz</t>
  </si>
  <si>
    <t>p = F/A</t>
  </si>
  <si>
    <t>A…Fläche</t>
  </si>
  <si>
    <t>Skalar/Vektor</t>
  </si>
  <si>
    <t>Weg (Länge)</t>
  </si>
  <si>
    <t>I(p)</t>
  </si>
  <si>
    <t>s [m]</t>
  </si>
  <si>
    <t>v [m/s]</t>
  </si>
  <si>
    <t>a [m/s²]</t>
  </si>
  <si>
    <t>1/f</t>
  </si>
  <si>
    <t>t [s]</t>
  </si>
  <si>
    <t xml:space="preserve">Frequenz </t>
  </si>
  <si>
    <t>Eingabe</t>
  </si>
  <si>
    <t>Resultat</t>
  </si>
  <si>
    <t>vom Beschleunigungs- zum Wegverlauf</t>
  </si>
  <si>
    <t>a [m]</t>
  </si>
  <si>
    <r>
      <t>(v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+v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)
----------  ∆x+ s</t>
    </r>
    <r>
      <rPr>
        <b/>
        <vertAlign val="subscript"/>
        <sz val="14"/>
        <rFont val="Arial"/>
        <family val="2"/>
      </rPr>
      <t xml:space="preserve">1 
     </t>
    </r>
    <r>
      <rPr>
        <b/>
        <sz val="14"/>
        <rFont val="Arial"/>
        <family val="2"/>
      </rPr>
      <t>2</t>
    </r>
  </si>
  <si>
    <t xml:space="preserve">k = </t>
  </si>
  <si>
    <t>Steigung</t>
  </si>
  <si>
    <t xml:space="preserve">d = </t>
  </si>
  <si>
    <t>Nulldurchgang</t>
  </si>
  <si>
    <t>x</t>
  </si>
  <si>
    <t>y</t>
  </si>
  <si>
    <t>Flächenberechnung</t>
  </si>
  <si>
    <t>c</t>
  </si>
  <si>
    <t>Anfangskonstante</t>
  </si>
  <si>
    <t>A</t>
  </si>
  <si>
    <t>Ag</t>
  </si>
  <si>
    <t>A…Teilflächen</t>
  </si>
  <si>
    <t>Ag…Gesamtfläche</t>
  </si>
  <si>
    <t>Differenzieren über 1 Zeitintervall</t>
  </si>
  <si>
    <t>Differenzieren über 4 Zeitintervall</t>
  </si>
  <si>
    <t>kg/ms²</t>
  </si>
  <si>
    <t>Geradengleichung</t>
  </si>
  <si>
    <r>
      <t>$</t>
    </r>
    <r>
      <rPr>
        <sz val="10"/>
        <rFont val="Arial"/>
        <family val="2"/>
      </rPr>
      <t>…beim Kopieren wird die Zahl hinter $ nicht verändert</t>
    </r>
  </si>
  <si>
    <r>
      <t>geg.: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und 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</si>
  <si>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r>
      <t>ges.: k</t>
    </r>
    <r>
      <rPr>
        <vertAlign val="subscript"/>
        <sz val="10"/>
        <rFont val="Arial"/>
        <family val="2"/>
      </rPr>
      <t>i</t>
    </r>
  </si>
  <si>
    <t>i</t>
  </si>
  <si>
    <r>
      <t>geg.: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k und d</t>
    </r>
  </si>
  <si>
    <r>
      <t>ges.: y</t>
    </r>
    <r>
      <rPr>
        <vertAlign val="subscript"/>
        <sz val="10"/>
        <rFont val="Arial"/>
        <family val="2"/>
      </rPr>
      <t>i</t>
    </r>
  </si>
  <si>
    <t>k(1)</t>
  </si>
  <si>
    <t>k(5)</t>
  </si>
  <si>
    <t>Körpergewicht</t>
  </si>
  <si>
    <t>Länge Unterschenkel</t>
  </si>
  <si>
    <t>cm</t>
  </si>
  <si>
    <t>Länge Oberschenkel</t>
  </si>
  <si>
    <t>Länge Oberkörper</t>
  </si>
  <si>
    <t>%</t>
  </si>
  <si>
    <t>Masse Oberschenkel</t>
  </si>
  <si>
    <t>Masse Oberkörper, Kopf, Arme</t>
  </si>
  <si>
    <t>Zusatzgewicht</t>
  </si>
  <si>
    <t>Unterschenkelwinkel</t>
  </si>
  <si>
    <t>°</t>
  </si>
  <si>
    <t>Oberkörperwinkel</t>
  </si>
  <si>
    <t>Ferse</t>
  </si>
  <si>
    <t>Zehe</t>
  </si>
  <si>
    <t>Sprunggelenk</t>
  </si>
  <si>
    <t>Knie</t>
  </si>
  <si>
    <t>Hüfte</t>
  </si>
  <si>
    <t>Schulter</t>
  </si>
  <si>
    <t>Kraftende</t>
  </si>
  <si>
    <t>Kniegelenk</t>
  </si>
  <si>
    <t>Hüftgelenk</t>
  </si>
  <si>
    <t>Parameter</t>
  </si>
  <si>
    <t>Wert</t>
  </si>
  <si>
    <t>Berechnete Größen</t>
  </si>
  <si>
    <t>Formel</t>
  </si>
  <si>
    <t>Dichte Luft</t>
  </si>
  <si>
    <t>Körpermasse</t>
  </si>
  <si>
    <t>Masse gesamt</t>
  </si>
  <si>
    <t>ρ = p / ( R * T)</t>
  </si>
  <si>
    <t>Radmasse</t>
  </si>
  <si>
    <t>Fahrgeschwindigkeit</t>
  </si>
  <si>
    <t>p…Luftdruck</t>
  </si>
  <si>
    <t>Höhendifferenz</t>
  </si>
  <si>
    <t>h</t>
  </si>
  <si>
    <t>Windgeschwindigkeit</t>
  </si>
  <si>
    <t>R…Gaskonstante</t>
  </si>
  <si>
    <t>J/(kg*K)</t>
  </si>
  <si>
    <t>Streckenlänge</t>
  </si>
  <si>
    <t>Relativgeschwindigkeit</t>
  </si>
  <si>
    <t xml:space="preserve">T… Temperatur in </t>
  </si>
  <si>
    <t>Grad Celsius</t>
  </si>
  <si>
    <t>°C</t>
  </si>
  <si>
    <t>Reibungskoeffizient</t>
  </si>
  <si>
    <t>μ</t>
  </si>
  <si>
    <t>T… Temperatur in Kelvin</t>
  </si>
  <si>
    <t>K</t>
  </si>
  <si>
    <t>Zeit Minuten</t>
  </si>
  <si>
    <t>min</t>
  </si>
  <si>
    <t xml:space="preserve">ρ = </t>
  </si>
  <si>
    <t>kg/m³</t>
  </si>
  <si>
    <t>Zeit Sekunden</t>
  </si>
  <si>
    <t>km/h</t>
  </si>
  <si>
    <t>genauere Berechnung:</t>
  </si>
  <si>
    <t>Steiggeschwindigkeit</t>
  </si>
  <si>
    <t>m/h</t>
  </si>
  <si>
    <t>http://de.wikipedia.org/wiki/Luftdichte</t>
  </si>
  <si>
    <t>schädliche Fläche</t>
  </si>
  <si>
    <t>cw * A</t>
  </si>
  <si>
    <t>m²</t>
  </si>
  <si>
    <t>Gewichtskraft</t>
  </si>
  <si>
    <t>Dichte</t>
  </si>
  <si>
    <t>ρ</t>
  </si>
  <si>
    <t>Hangneigung</t>
  </si>
  <si>
    <t>α</t>
  </si>
  <si>
    <t>rad</t>
  </si>
  <si>
    <t>α = arcsin (h / s)</t>
  </si>
  <si>
    <t>Erdbeschleunigung</t>
  </si>
  <si>
    <t>g</t>
  </si>
  <si>
    <t>Hangnormalkraft</t>
  </si>
  <si>
    <t>Hangabwärtstreibende Kraft</t>
  </si>
  <si>
    <t>Luftwiderstandskraft</t>
  </si>
  <si>
    <t>Reibungskraft</t>
  </si>
  <si>
    <t>Gesamtkraft</t>
  </si>
  <si>
    <t>Hubarbeit</t>
  </si>
  <si>
    <t>kJ</t>
  </si>
  <si>
    <t>Luftwiderstandsarbeit</t>
  </si>
  <si>
    <t>Reibungsarbeit</t>
  </si>
  <si>
    <t>Gesamtarbeit</t>
  </si>
  <si>
    <t>Höhenleistung</t>
  </si>
  <si>
    <t>Luftwiderstandsleistung</t>
  </si>
  <si>
    <t>Reibungsleistung</t>
  </si>
  <si>
    <t>Gesamtleistung</t>
  </si>
  <si>
    <t>Leistung pro Gewichtseinheit</t>
  </si>
  <si>
    <t>W/kg</t>
  </si>
  <si>
    <r>
      <t>m</t>
    </r>
    <r>
      <rPr>
        <vertAlign val="subscript"/>
        <sz val="10"/>
        <rFont val="Arial"/>
        <family val="2"/>
      </rPr>
      <t>K</t>
    </r>
  </si>
  <si>
    <r>
      <t>m</t>
    </r>
    <r>
      <rPr>
        <vertAlign val="subscript"/>
        <sz val="10"/>
        <rFont val="Arial"/>
        <family val="2"/>
      </rPr>
      <t>ges</t>
    </r>
  </si>
  <si>
    <r>
      <t>m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m</t>
    </r>
    <r>
      <rPr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+ m</t>
    </r>
    <r>
      <rPr>
        <vertAlign val="subscript"/>
        <sz val="10"/>
        <rFont val="Arial"/>
        <family val="2"/>
      </rPr>
      <t>R</t>
    </r>
  </si>
  <si>
    <r>
      <t>m</t>
    </r>
    <r>
      <rPr>
        <vertAlign val="subscript"/>
        <sz val="10"/>
        <rFont val="Arial"/>
        <family val="2"/>
      </rPr>
      <t>R</t>
    </r>
  </si>
  <si>
    <r>
      <t>v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</si>
  <si>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 s / t</t>
    </r>
  </si>
  <si>
    <r>
      <t>v</t>
    </r>
    <r>
      <rPr>
        <vertAlign val="subscript"/>
        <sz val="10"/>
        <rFont val="Arial"/>
        <family val="2"/>
      </rPr>
      <t>W</t>
    </r>
  </si>
  <si>
    <r>
      <t>v</t>
    </r>
    <r>
      <rPr>
        <vertAlign val="subscript"/>
        <sz val="10"/>
        <rFont val="Arial"/>
        <family val="2"/>
      </rPr>
      <t>rel</t>
    </r>
  </si>
  <si>
    <r>
      <t>v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v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+ v</t>
    </r>
    <r>
      <rPr>
        <vertAlign val="subscript"/>
        <sz val="10"/>
        <rFont val="Arial"/>
        <family val="2"/>
      </rPr>
      <t>W</t>
    </r>
  </si>
  <si>
    <r>
      <t>F</t>
    </r>
    <r>
      <rPr>
        <vertAlign val="subscript"/>
        <sz val="10"/>
        <rFont val="Arial"/>
        <family val="2"/>
      </rPr>
      <t>ges</t>
    </r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</si>
  <si>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m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g</t>
    </r>
  </si>
  <si>
    <r>
      <t>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</si>
  <si>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cos(α)</t>
    </r>
  </si>
  <si>
    <r>
      <t>F</t>
    </r>
    <r>
      <rPr>
        <vertAlign val="subscript"/>
        <sz val="10"/>
        <rFont val="Arial"/>
        <family val="2"/>
      </rPr>
      <t>H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</si>
  <si>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sin (α) = W</t>
    </r>
    <r>
      <rPr>
        <vertAlign val="subscript"/>
        <sz val="10"/>
        <rFont val="Arial"/>
        <family val="2"/>
      </rPr>
      <t xml:space="preserve">H  </t>
    </r>
    <r>
      <rPr>
        <sz val="10"/>
        <rFont val="Arial"/>
        <family val="2"/>
      </rPr>
      <t>/ s</t>
    </r>
  </si>
  <si>
    <r>
      <t>F</t>
    </r>
    <r>
      <rPr>
        <vertAlign val="subscript"/>
        <sz val="10"/>
        <rFont val="Arial"/>
        <family val="2"/>
      </rPr>
      <t>L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</si>
  <si>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 1/2 (cw * A * ρ * v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²)</t>
    </r>
  </si>
  <si>
    <r>
      <t>F</t>
    </r>
    <r>
      <rPr>
        <vertAlign val="subscript"/>
        <sz val="10"/>
        <rFont val="Arial"/>
        <family val="2"/>
      </rPr>
      <t>R</t>
    </r>
  </si>
  <si>
    <r>
      <t>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 μ * 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</si>
  <si>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</si>
  <si>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W</t>
    </r>
    <r>
      <rPr>
        <vertAlign val="subscript"/>
        <sz val="10"/>
        <rFont val="Arial"/>
        <family val="2"/>
      </rPr>
      <t>H</t>
    </r>
  </si>
  <si>
    <r>
      <t>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m * g * h</t>
    </r>
  </si>
  <si>
    <r>
      <t>W</t>
    </r>
    <r>
      <rPr>
        <vertAlign val="subscript"/>
        <sz val="10"/>
        <rFont val="Arial"/>
        <family val="2"/>
      </rPr>
      <t>L</t>
    </r>
  </si>
  <si>
    <r>
      <t>W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* s</t>
    </r>
  </si>
  <si>
    <r>
      <t>W</t>
    </r>
    <r>
      <rPr>
        <vertAlign val="subscript"/>
        <sz val="10"/>
        <rFont val="Arial"/>
        <family val="2"/>
      </rPr>
      <t>R</t>
    </r>
  </si>
  <si>
    <r>
      <t>W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* s</t>
    </r>
  </si>
  <si>
    <r>
      <t>W</t>
    </r>
    <r>
      <rPr>
        <vertAlign val="subscript"/>
        <sz val="10"/>
        <rFont val="Arial"/>
        <family val="2"/>
      </rPr>
      <t>ges</t>
    </r>
  </si>
  <si>
    <r>
      <t>W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W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</si>
  <si>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H</t>
    </r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</si>
  <si>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</si>
  <si>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L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</si>
  <si>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</si>
  <si>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R</t>
    </r>
  </si>
  <si>
    <r>
      <t>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=W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</si>
  <si>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ges</t>
    </r>
  </si>
  <si>
    <r>
      <t>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</si>
  <si>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 xml:space="preserve"> =P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K</t>
    </r>
  </si>
  <si>
    <t>dt =</t>
  </si>
  <si>
    <t>Weg</t>
  </si>
  <si>
    <r>
      <t>k</t>
    </r>
    <r>
      <rPr>
        <b/>
        <vertAlign val="subscript"/>
        <sz val="10"/>
        <rFont val="Arial"/>
        <family val="2"/>
      </rPr>
      <t>1,5</t>
    </r>
    <r>
      <rPr>
        <b/>
        <sz val="10"/>
        <rFont val="Arial"/>
        <family val="2"/>
      </rPr>
      <t xml:space="preserve"> = (y5-y1) / (4 x dt)</t>
    </r>
  </si>
  <si>
    <r>
      <t>k</t>
    </r>
    <r>
      <rPr>
        <b/>
        <vertAlign val="sub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= (y2-y1) / dt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</si>
  <si>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kx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+ d</t>
    </r>
  </si>
  <si>
    <t>Fläche mit Mittelwert von Anfang und Ende</t>
  </si>
  <si>
    <r>
      <t>A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(y1)*dt</t>
    </r>
  </si>
  <si>
    <t>Fläche mit nur 1 Wert (ausreichend bei kleinen Intervallen)</t>
  </si>
  <si>
    <t>Steigung einer Kurve bei konstantem Zeitintervall</t>
  </si>
  <si>
    <t>1.</t>
  </si>
  <si>
    <t>Um wieviel verbessert sich die Zeit, wenn sich das Körpergewicht von 70 auf 65 und 60 kg verringert</t>
  </si>
  <si>
    <t>2.</t>
  </si>
  <si>
    <t>bei gleichbleibender Leistung?</t>
  </si>
  <si>
    <t>Um wieviel vergrößert sich die Zeit bei einem 40 km Rundkurs, wenn ein Wind von 10 und 20 km/h gegenüber Windstille vorhanden ist?</t>
  </si>
  <si>
    <t>10 km/h entpricht 2.777 m/s</t>
  </si>
  <si>
    <t>20 km/h entpricht 5.444 m/s</t>
  </si>
  <si>
    <t>3.</t>
  </si>
  <si>
    <t>a) Gibt es eine Position bei der alle Momente annähernd Null betragen?</t>
  </si>
  <si>
    <t>d) Bei welchem Kniewinkel tritt das größte Kniemoment auf (Unterschenkelwinkel 70°; Oberkörperwinkel 70°)?</t>
  </si>
  <si>
    <t>e) Ist die Gefahr des Vor oder Rückwärtskippen größer?</t>
  </si>
  <si>
    <t>g) Interpretieren Sie das Ergebnis von f) für die Praxis.</t>
  </si>
  <si>
    <t>Gewicht 70 kg Leistung 300 Watt? (Nehmen Sie 20 km/h Rückenwind und 20 km/h Gegenwind an.)</t>
  </si>
  <si>
    <t xml:space="preserve">Um wieviel verbessert sich die Zeit bei einem 40 km Rundkurs, wenn sich die schädliche Fläche auf 0.29 bzw. 0.2 m² verringert? </t>
  </si>
  <si>
    <t>Weg-, Geschwindigkeits- und Beschleunigungsverlauf</t>
  </si>
  <si>
    <r>
      <t xml:space="preserve">        s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s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v = -----------
      t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t</t>
    </r>
    <r>
      <rPr>
        <b/>
        <vertAlign val="subscript"/>
        <sz val="14"/>
        <rFont val="Arial"/>
        <family val="2"/>
      </rPr>
      <t>1</t>
    </r>
  </si>
  <si>
    <r>
      <t xml:space="preserve">      v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v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a = -----------
      t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t</t>
    </r>
    <r>
      <rPr>
        <b/>
        <vertAlign val="subscript"/>
        <sz val="14"/>
        <rFont val="Arial"/>
        <family val="2"/>
      </rPr>
      <t>1</t>
    </r>
  </si>
  <si>
    <r>
      <t>(a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+a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)
----------  ∆t+ v</t>
    </r>
    <r>
      <rPr>
        <b/>
        <vertAlign val="subscript"/>
        <sz val="14"/>
        <rFont val="Arial"/>
        <family val="2"/>
      </rPr>
      <t xml:space="preserve">1 
     </t>
    </r>
    <r>
      <rPr>
        <b/>
        <sz val="14"/>
        <rFont val="Arial"/>
        <family val="2"/>
      </rPr>
      <t>2</t>
    </r>
  </si>
  <si>
    <t>∆t</t>
  </si>
  <si>
    <t>Zeit bei 65 kg:______________</t>
  </si>
  <si>
    <t>Zeit 10km/h Gegenwind:_____________</t>
  </si>
  <si>
    <t>Zeit 10 km/h Rückenwind:___________________</t>
  </si>
  <si>
    <t>Zeit 20km/h Gegenwind:_____________</t>
  </si>
  <si>
    <t>Zeit 20 km/h Rückenwind:___________________</t>
  </si>
  <si>
    <t>Zeit 0,29m²:______________</t>
  </si>
  <si>
    <t>Zeit 0,20m²:______________</t>
  </si>
  <si>
    <t>Zeitverbesserung:_________________________</t>
  </si>
  <si>
    <t>Zeitdifferenz:________________</t>
  </si>
  <si>
    <t>Zeit bei 60 kg:______________</t>
  </si>
  <si>
    <t>Unterschenkelwinkel:__________</t>
  </si>
  <si>
    <t>Kniewinkel:_________</t>
  </si>
  <si>
    <t>Oberkörperwinkel:____________</t>
  </si>
  <si>
    <t>Kniewinkel nach vorne kippen:______________</t>
  </si>
  <si>
    <t>Kniewinkel nach hinten kippen:______________</t>
  </si>
  <si>
    <t>Kniewinkel.____________________</t>
  </si>
  <si>
    <t>Drehmoment:_______________</t>
  </si>
  <si>
    <t>Max. Zusatzgewicht bei 50° Oberkörperwinkel:___________________</t>
  </si>
  <si>
    <t>Max. Zusatzgewicht bei 60° Oberkörperwinkel:___________________</t>
  </si>
  <si>
    <t>______________________________________________________________________________________________________________</t>
  </si>
  <si>
    <t>km</t>
  </si>
  <si>
    <t>Zeit pro Kilometer</t>
  </si>
  <si>
    <t>h:min:s</t>
  </si>
  <si>
    <t>geg: Weg und Zeit</t>
  </si>
  <si>
    <t>ges: mittlere Geschwindigkeit</t>
  </si>
  <si>
    <t>ges: Endgeschwindigkeit und Weg</t>
  </si>
  <si>
    <t>geg: Anfangsweg und -geschw., konstante Beschleunigung und Zeit</t>
  </si>
  <si>
    <t>Anfangsweg</t>
  </si>
  <si>
    <r>
      <t>s</t>
    </r>
    <r>
      <rPr>
        <vertAlign val="subscript"/>
        <sz val="10"/>
        <rFont val="Arial"/>
        <family val="2"/>
      </rPr>
      <t>0</t>
    </r>
  </si>
  <si>
    <t>Anfangsgewschw.</t>
  </si>
  <si>
    <r>
      <t>v</t>
    </r>
    <r>
      <rPr>
        <vertAlign val="subscript"/>
        <sz val="10"/>
        <rFont val="Arial"/>
        <family val="2"/>
      </rPr>
      <t>0</t>
    </r>
  </si>
  <si>
    <t>Endgeschw.</t>
  </si>
  <si>
    <r>
      <t>v</t>
    </r>
    <r>
      <rPr>
        <vertAlign val="subscript"/>
        <sz val="10"/>
        <rFont val="Arial"/>
        <family val="2"/>
      </rPr>
      <t>1</t>
    </r>
  </si>
  <si>
    <t>mittlere Geschw.</t>
  </si>
  <si>
    <r>
      <t>v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</si>
  <si>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1</t>
    </r>
  </si>
  <si>
    <t>geg: Anfangsweg und -geschw., konstante Beschleunigung und Weg</t>
  </si>
  <si>
    <t>Wegdifferenz</t>
  </si>
  <si>
    <r>
      <t>A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 xml:space="preserve"> = (y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>+y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)*dt/2</t>
    </r>
  </si>
  <si>
    <t>Zeitintervall</t>
  </si>
  <si>
    <t>Oberschenkelwinkel</t>
  </si>
  <si>
    <t>c) Wie groß muss der Oberschenkelwinkel sein, damit Hüft und Kniemoment gleich groß sind (Unterschenkelwinkel 70°; Oberkörperwinkel 70°)?</t>
  </si>
  <si>
    <t>Oberschenkelwinkel.____________________</t>
  </si>
  <si>
    <t>(Ausführen bedeutet: Vom aufrechten Stand in die tiefe Position (Oberschenkelwinkel -40°) und wieder zurück in den aufrechten Stand)</t>
  </si>
  <si>
    <t>Momente auf 1 Bein bezogen</t>
  </si>
  <si>
    <t>Körpersegmente</t>
  </si>
  <si>
    <t>Teilmassen m(i) in %</t>
  </si>
  <si>
    <t>Schwerpunktradien r(i) in %</t>
  </si>
  <si>
    <t>Kopfund Hals</t>
  </si>
  <si>
    <t>Rumpf</t>
  </si>
  <si>
    <t>Oberarm links</t>
  </si>
  <si>
    <t>Oberarmrechts</t>
  </si>
  <si>
    <t>Unterarm links</t>
  </si>
  <si>
    <t>Unterarmrechts</t>
  </si>
  <si>
    <t>Handlinks</t>
  </si>
  <si>
    <t>Hand rechts</t>
  </si>
  <si>
    <t>Oberschenkel links</t>
  </si>
  <si>
    <t>Oberschenkelrechts</t>
  </si>
  <si>
    <t>Unterschenkellinks</t>
  </si>
  <si>
    <t>Masse Füsse</t>
  </si>
  <si>
    <t>Masse Unterschenkel</t>
  </si>
  <si>
    <t>50(Ohrgang)</t>
  </si>
  <si>
    <t>(Mitte)</t>
  </si>
  <si>
    <t>Fuss</t>
  </si>
  <si>
    <t>Teilkörperschwerpunkte</t>
  </si>
  <si>
    <t>US</t>
  </si>
  <si>
    <t>OS</t>
  </si>
  <si>
    <t>OK</t>
  </si>
  <si>
    <t>Hantel</t>
  </si>
  <si>
    <t>Gesamt</t>
  </si>
  <si>
    <t>Koordinaten</t>
  </si>
  <si>
    <t>X</t>
  </si>
  <si>
    <t>Y</t>
  </si>
  <si>
    <t>Körperschwerpunkt mit Zusatzg.</t>
  </si>
  <si>
    <t>Ksp ohne Fuss</t>
  </si>
  <si>
    <t>Ksp ohne Fuss US</t>
  </si>
  <si>
    <t>Ksp ohne Fuss US OS</t>
  </si>
  <si>
    <t>ohne Fuss</t>
  </si>
  <si>
    <t>ohne F + US</t>
  </si>
  <si>
    <t>ohne F+US+OS</t>
  </si>
  <si>
    <t>rote Punkte stellen die Teilkörperschwerpunkte dar</t>
  </si>
  <si>
    <t>b) Wie groß muss der Oberschenkelwinkel sein, dass man nach vorne/hinten kippt (Unterschenkelwinkel 65°; Oberkörperwinkel 80°)?</t>
  </si>
  <si>
    <t>Aufgaben: (KG 70 kg, Hantel 80 kg)</t>
  </si>
  <si>
    <t>f) Das maximale Kniemoment beträgt 150 Nm, mit welchem max. Zusatzgewicht kann noch eine tiefe Kniebeuge ausgeführt werden bei einem Oberkörperwinkel von 50° und 60°?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</si>
</sst>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$-F400]h:mm:ss\ AM/PM"/>
    <numFmt numFmtId="167" formatCode="[h]:mm:ss;@"/>
  </numFmts>
  <fonts count="24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color indexed="48"/>
      <name val="Arial"/>
      <family val="2"/>
    </font>
    <font>
      <vertAlign val="subscript"/>
      <sz val="14"/>
      <color indexed="12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4" fillId="2" borderId="2" xfId="0" applyFont="1" applyFill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4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0" fillId="0" borderId="0" xfId="0" applyBorder="1"/>
    <xf numFmtId="0" fontId="9" fillId="0" borderId="0" xfId="0" applyFont="1"/>
    <xf numFmtId="0" fontId="1" fillId="0" borderId="0" xfId="0" applyFont="1" applyFill="1" applyBorder="1" applyAlignment="1">
      <alignment horizontal="center"/>
    </xf>
    <xf numFmtId="0" fontId="0" fillId="2" borderId="0" xfId="0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0" fillId="2" borderId="5" xfId="0" applyFill="1" applyBorder="1"/>
    <xf numFmtId="0" fontId="1" fillId="0" borderId="7" xfId="0" applyFont="1" applyBorder="1"/>
    <xf numFmtId="0" fontId="1" fillId="0" borderId="8" xfId="0" applyFont="1" applyBorder="1"/>
    <xf numFmtId="0" fontId="7" fillId="0" borderId="7" xfId="0" applyFont="1" applyBorder="1"/>
    <xf numFmtId="0" fontId="7" fillId="0" borderId="8" xfId="0" applyFont="1" applyBorder="1"/>
    <xf numFmtId="0" fontId="10" fillId="0" borderId="0" xfId="0" applyFont="1"/>
    <xf numFmtId="0" fontId="11" fillId="3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3" borderId="9" xfId="0" applyFont="1" applyFill="1" applyBorder="1"/>
    <xf numFmtId="0" fontId="10" fillId="0" borderId="0" xfId="0" applyFont="1" applyBorder="1"/>
    <xf numFmtId="0" fontId="1" fillId="4" borderId="9" xfId="0" applyFont="1" applyFill="1" applyBorder="1"/>
    <xf numFmtId="0" fontId="1" fillId="4" borderId="2" xfId="0" applyFont="1" applyFill="1" applyBorder="1"/>
    <xf numFmtId="0" fontId="1" fillId="4" borderId="0" xfId="0" applyFont="1" applyFill="1"/>
    <xf numFmtId="0" fontId="1" fillId="5" borderId="0" xfId="0" applyFont="1" applyFill="1"/>
    <xf numFmtId="0" fontId="1" fillId="5" borderId="11" xfId="0" applyFont="1" applyFill="1" applyBorder="1"/>
    <xf numFmtId="0" fontId="1" fillId="5" borderId="9" xfId="0" applyFont="1" applyFill="1" applyBorder="1"/>
    <xf numFmtId="0" fontId="1" fillId="5" borderId="5" xfId="0" applyFont="1" applyFill="1" applyBorder="1"/>
    <xf numFmtId="0" fontId="1" fillId="4" borderId="13" xfId="0" applyFont="1" applyFill="1" applyBorder="1"/>
    <xf numFmtId="0" fontId="14" fillId="0" borderId="0" xfId="0" applyFont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5" fillId="0" borderId="13" xfId="0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2" fillId="0" borderId="0" xfId="0" applyFont="1"/>
    <xf numFmtId="0" fontId="0" fillId="6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16" xfId="0" applyFont="1" applyBorder="1"/>
    <xf numFmtId="0" fontId="8" fillId="0" borderId="13" xfId="0" applyFont="1" applyBorder="1"/>
    <xf numFmtId="0" fontId="0" fillId="6" borderId="10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4" fillId="0" borderId="2" xfId="0" applyFont="1" applyBorder="1"/>
    <xf numFmtId="0" fontId="7" fillId="0" borderId="1" xfId="0" applyFont="1" applyFill="1" applyBorder="1"/>
    <xf numFmtId="0" fontId="7" fillId="0" borderId="3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left"/>
    </xf>
    <xf numFmtId="164" fontId="7" fillId="0" borderId="0" xfId="0" applyNumberFormat="1" applyFont="1" applyFill="1" applyBorder="1"/>
    <xf numFmtId="1" fontId="14" fillId="2" borderId="0" xfId="0" applyNumberFormat="1" applyFont="1" applyFill="1" applyBorder="1"/>
    <xf numFmtId="0" fontId="7" fillId="0" borderId="3" xfId="0" applyFont="1" applyBorder="1"/>
    <xf numFmtId="0" fontId="14" fillId="2" borderId="0" xfId="0" applyFont="1" applyFill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" fontId="7" fillId="0" borderId="0" xfId="0" applyNumberFormat="1" applyFont="1" applyFill="1" applyBorder="1"/>
    <xf numFmtId="164" fontId="7" fillId="0" borderId="0" xfId="0" applyNumberFormat="1" applyFont="1"/>
    <xf numFmtId="165" fontId="7" fillId="0" borderId="0" xfId="0" applyNumberFormat="1" applyFont="1" applyBorder="1"/>
    <xf numFmtId="0" fontId="7" fillId="0" borderId="6" xfId="0" applyFont="1" applyBorder="1"/>
    <xf numFmtId="0" fontId="7" fillId="0" borderId="6" xfId="0" applyFont="1" applyFill="1" applyBorder="1"/>
    <xf numFmtId="0" fontId="7" fillId="0" borderId="5" xfId="0" applyFont="1" applyFill="1" applyBorder="1"/>
    <xf numFmtId="1" fontId="7" fillId="0" borderId="5" xfId="0" applyNumberFormat="1" applyFont="1" applyBorder="1"/>
    <xf numFmtId="0" fontId="7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14" fillId="0" borderId="1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/>
    <xf numFmtId="16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/>
    <xf numFmtId="0" fontId="7" fillId="0" borderId="5" xfId="0" applyFont="1" applyFill="1" applyBorder="1" applyAlignment="1">
      <alignment horizontal="left"/>
    </xf>
    <xf numFmtId="1" fontId="14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2" xfId="0" applyFont="1" applyFill="1" applyBorder="1" applyAlignment="1">
      <alignment horizontal="left"/>
    </xf>
    <xf numFmtId="1" fontId="14" fillId="6" borderId="0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textRotation="90"/>
    </xf>
    <xf numFmtId="165" fontId="7" fillId="0" borderId="0" xfId="0" applyNumberFormat="1" applyFont="1"/>
    <xf numFmtId="46" fontId="7" fillId="0" borderId="0" xfId="0" applyNumberFormat="1" applyFont="1"/>
    <xf numFmtId="46" fontId="7" fillId="0" borderId="0" xfId="0" applyNumberFormat="1" applyFont="1" applyAlignment="1">
      <alignment horizontal="left"/>
    </xf>
    <xf numFmtId="164" fontId="7" fillId="6" borderId="0" xfId="0" applyNumberFormat="1" applyFont="1" applyFill="1" applyBorder="1"/>
    <xf numFmtId="1" fontId="7" fillId="6" borderId="0" xfId="0" applyNumberFormat="1" applyFont="1" applyFill="1" applyBorder="1"/>
    <xf numFmtId="0" fontId="14" fillId="7" borderId="0" xfId="0" applyFont="1" applyFill="1"/>
    <xf numFmtId="0" fontId="14" fillId="7" borderId="0" xfId="0" applyFont="1" applyFill="1" applyAlignment="1">
      <alignment horizontal="left"/>
    </xf>
    <xf numFmtId="0" fontId="17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3" fillId="2" borderId="0" xfId="0" applyFont="1" applyFill="1"/>
    <xf numFmtId="0" fontId="13" fillId="0" borderId="0" xfId="1" applyFont="1" applyFill="1" applyBorder="1"/>
    <xf numFmtId="0" fontId="10" fillId="0" borderId="0" xfId="1" applyFont="1" applyFill="1" applyBorder="1"/>
    <xf numFmtId="0" fontId="11" fillId="0" borderId="0" xfId="1" applyFont="1" applyBorder="1" applyAlignment="1">
      <alignment horizontal="center" wrapText="1"/>
    </xf>
    <xf numFmtId="0" fontId="7" fillId="0" borderId="0" xfId="1"/>
    <xf numFmtId="0" fontId="1" fillId="0" borderId="0" xfId="1" applyFont="1" applyFill="1" applyBorder="1"/>
    <xf numFmtId="0" fontId="11" fillId="0" borderId="0" xfId="1" applyFont="1" applyFill="1" applyBorder="1" applyAlignment="1">
      <alignment horizontal="center" wrapText="1"/>
    </xf>
    <xf numFmtId="0" fontId="11" fillId="0" borderId="9" xfId="1" applyFont="1" applyFill="1" applyBorder="1" applyAlignment="1">
      <alignment horizontal="center" wrapText="1"/>
    </xf>
    <xf numFmtId="0" fontId="1" fillId="0" borderId="25" xfId="1" applyFont="1" applyFill="1" applyBorder="1"/>
    <xf numFmtId="0" fontId="11" fillId="0" borderId="25" xfId="1" applyFont="1" applyFill="1" applyBorder="1" applyAlignment="1">
      <alignment horizontal="center" wrapText="1"/>
    </xf>
    <xf numFmtId="0" fontId="1" fillId="0" borderId="0" xfId="1" applyFont="1" applyFill="1"/>
    <xf numFmtId="0" fontId="1" fillId="0" borderId="0" xfId="1" applyFont="1"/>
    <xf numFmtId="0" fontId="1" fillId="0" borderId="9" xfId="1" applyFont="1" applyFill="1" applyBorder="1"/>
    <xf numFmtId="164" fontId="1" fillId="0" borderId="9" xfId="1" applyNumberFormat="1" applyFont="1" applyFill="1" applyBorder="1"/>
    <xf numFmtId="0" fontId="1" fillId="0" borderId="0" xfId="1" applyFont="1" applyBorder="1"/>
    <xf numFmtId="0" fontId="7" fillId="0" borderId="9" xfId="1" applyFill="1" applyBorder="1"/>
    <xf numFmtId="2" fontId="16" fillId="0" borderId="9" xfId="0" applyNumberFormat="1" applyFont="1" applyBorder="1" applyAlignment="1">
      <alignment horizontal="center"/>
    </xf>
    <xf numFmtId="0" fontId="13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0" fillId="0" borderId="8" xfId="0" applyFont="1" applyFill="1" applyBorder="1"/>
    <xf numFmtId="0" fontId="14" fillId="8" borderId="0" xfId="0" applyFont="1" applyFill="1" applyBorder="1" applyAlignment="1">
      <alignment horizontal="right"/>
    </xf>
    <xf numFmtId="0" fontId="14" fillId="9" borderId="0" xfId="0" applyFont="1" applyFill="1" applyBorder="1" applyAlignment="1">
      <alignment horizontal="right"/>
    </xf>
    <xf numFmtId="1" fontId="14" fillId="9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1" fontId="7" fillId="10" borderId="0" xfId="0" applyNumberFormat="1" applyFont="1" applyFill="1" applyBorder="1"/>
    <xf numFmtId="0" fontId="7" fillId="10" borderId="0" xfId="0" applyFont="1" applyFill="1" applyBorder="1"/>
    <xf numFmtId="164" fontId="7" fillId="10" borderId="0" xfId="0" applyNumberFormat="1" applyFont="1" applyFill="1" applyBorder="1"/>
    <xf numFmtId="167" fontId="7" fillId="10" borderId="0" xfId="0" applyNumberFormat="1" applyFont="1" applyFill="1" applyBorder="1"/>
    <xf numFmtId="0" fontId="7" fillId="0" borderId="26" xfId="0" applyFont="1" applyBorder="1"/>
    <xf numFmtId="0" fontId="14" fillId="0" borderId="26" xfId="0" applyFont="1" applyBorder="1"/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2" fontId="8" fillId="0" borderId="13" xfId="0" applyNumberFormat="1" applyFont="1" applyBorder="1"/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/>
    <xf numFmtId="0" fontId="7" fillId="0" borderId="27" xfId="0" applyFont="1" applyFill="1" applyBorder="1"/>
    <xf numFmtId="0" fontId="7" fillId="0" borderId="27" xfId="0" applyFont="1" applyBorder="1"/>
    <xf numFmtId="0" fontId="7" fillId="0" borderId="26" xfId="0" applyFont="1" applyFill="1" applyBorder="1"/>
    <xf numFmtId="2" fontId="7" fillId="10" borderId="0" xfId="0" applyNumberFormat="1" applyFont="1" applyFill="1" applyBorder="1"/>
    <xf numFmtId="0" fontId="17" fillId="11" borderId="0" xfId="0" applyFont="1" applyFill="1" applyBorder="1"/>
    <xf numFmtId="1" fontId="17" fillId="10" borderId="0" xfId="0" applyNumberFormat="1" applyFont="1" applyFill="1"/>
    <xf numFmtId="0" fontId="2" fillId="11" borderId="0" xfId="0" applyFont="1" applyFill="1" applyBorder="1"/>
    <xf numFmtId="0" fontId="2" fillId="8" borderId="0" xfId="0" applyFont="1" applyFill="1" applyBorder="1"/>
    <xf numFmtId="0" fontId="2" fillId="8" borderId="0" xfId="0" applyFont="1" applyFill="1"/>
    <xf numFmtId="0" fontId="20" fillId="8" borderId="0" xfId="0" applyFont="1" applyFill="1"/>
    <xf numFmtId="1" fontId="17" fillId="8" borderId="0" xfId="0" applyNumberFormat="1" applyFont="1" applyFill="1"/>
    <xf numFmtId="0" fontId="7" fillId="8" borderId="0" xfId="0" applyFont="1" applyFill="1"/>
    <xf numFmtId="0" fontId="17" fillId="8" borderId="0" xfId="0" applyFont="1" applyFill="1" applyBorder="1"/>
    <xf numFmtId="0" fontId="20" fillId="8" borderId="0" xfId="0" applyFont="1" applyFill="1" applyBorder="1"/>
    <xf numFmtId="0" fontId="21" fillId="8" borderId="0" xfId="0" applyFont="1" applyFill="1"/>
    <xf numFmtId="0" fontId="14" fillId="11" borderId="0" xfId="0" applyFont="1" applyFill="1" applyBorder="1" applyAlignment="1">
      <alignment horizontal="right"/>
    </xf>
    <xf numFmtId="2" fontId="14" fillId="11" borderId="0" xfId="0" applyNumberFormat="1" applyFont="1" applyFill="1" applyBorder="1" applyAlignment="1">
      <alignment horizontal="right"/>
    </xf>
    <xf numFmtId="0" fontId="14" fillId="11" borderId="5" xfId="0" applyFont="1" applyFill="1" applyBorder="1"/>
    <xf numFmtId="0" fontId="7" fillId="8" borderId="0" xfId="0" applyFont="1" applyFill="1" applyAlignment="1">
      <alignment horizontal="center"/>
    </xf>
    <xf numFmtId="1" fontId="7" fillId="8" borderId="0" xfId="0" applyNumberFormat="1" applyFont="1" applyFill="1" applyAlignment="1">
      <alignment horizontal="center"/>
    </xf>
    <xf numFmtId="164" fontId="7" fillId="8" borderId="0" xfId="0" applyNumberFormat="1" applyFont="1" applyFill="1" applyAlignment="1">
      <alignment horizontal="center"/>
    </xf>
    <xf numFmtId="0" fontId="2" fillId="8" borderId="26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11291632818848E-2"/>
          <c:y val="5.4872280037842953E-2"/>
          <c:w val="0.88058489033306253"/>
          <c:h val="0.8666035950804162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Kniebeuge!$B$19:$B$24</c:f>
              <c:numCache>
                <c:formatCode>General</c:formatCode>
                <c:ptCount val="6"/>
                <c:pt idx="0">
                  <c:v>77</c:v>
                </c:pt>
                <c:pt idx="1">
                  <c:v>50</c:v>
                </c:pt>
                <c:pt idx="2">
                  <c:v>55</c:v>
                </c:pt>
                <c:pt idx="3" formatCode="0">
                  <c:v>82.639867216521196</c:v>
                </c:pt>
                <c:pt idx="4" formatCode="0">
                  <c:v>38.639867216521196</c:v>
                </c:pt>
                <c:pt idx="5" formatCode="0">
                  <c:v>66.139867216521196</c:v>
                </c:pt>
              </c:numCache>
            </c:numRef>
          </c:xVal>
          <c:yVal>
            <c:numRef>
              <c:f>Kniebeuge!$C$19:$C$24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 formatCode="0">
                  <c:v>40.939911054116052</c:v>
                </c:pt>
                <c:pt idx="4" formatCode="0">
                  <c:v>40.93991105411606</c:v>
                </c:pt>
                <c:pt idx="5" formatCode="0">
                  <c:v>88.571308262260175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E3-48AF-94A5-88D5A81BE362}"/>
            </c:ext>
          </c:extLst>
        </c:ser>
        <c:ser>
          <c:idx val="1"/>
          <c:order val="1"/>
          <c:tx>
            <c:v>KSP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Kniebeuge!$B$26:$B$27</c:f>
              <c:numCache>
                <c:formatCode>0.0</c:formatCode>
                <c:ptCount val="2"/>
                <c:pt idx="0">
                  <c:v>61.372035151123804</c:v>
                </c:pt>
                <c:pt idx="1">
                  <c:v>61.372035151123804</c:v>
                </c:pt>
              </c:numCache>
            </c:numRef>
          </c:xVal>
          <c:yVal>
            <c:numRef>
              <c:f>Kniebeuge!$C$26:$C$27</c:f>
              <c:numCache>
                <c:formatCode>0.0</c:formatCode>
                <c:ptCount val="2"/>
                <c:pt idx="0">
                  <c:v>71.906779721847542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E3-48AF-94A5-88D5A81BE362}"/>
            </c:ext>
          </c:extLst>
        </c:ser>
        <c:ser>
          <c:idx val="2"/>
          <c:order val="2"/>
          <c:tx>
            <c:v>TKSPKTE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Kniebeuge!$D$19:$D$23</c:f>
              <c:numCache>
                <c:formatCode>General</c:formatCode>
                <c:ptCount val="5"/>
                <c:pt idx="0">
                  <c:v>61.88</c:v>
                </c:pt>
                <c:pt idx="1">
                  <c:v>71.0311229855823</c:v>
                </c:pt>
                <c:pt idx="2">
                  <c:v>57.999867216521196</c:v>
                </c:pt>
                <c:pt idx="3">
                  <c:v>52.389867216521196</c:v>
                </c:pt>
                <c:pt idx="4" formatCode="0">
                  <c:v>66.139867216521196</c:v>
                </c:pt>
              </c:numCache>
            </c:numRef>
          </c:xVal>
          <c:yVal>
            <c:numRef>
              <c:f>Kniebeuge!$E$19:$E$23</c:f>
              <c:numCache>
                <c:formatCode>General</c:formatCode>
                <c:ptCount val="5"/>
                <c:pt idx="0">
                  <c:v>3.5199999999999996</c:v>
                </c:pt>
                <c:pt idx="1">
                  <c:v>27.105148411387312</c:v>
                </c:pt>
                <c:pt idx="2">
                  <c:v>40.93991105411606</c:v>
                </c:pt>
                <c:pt idx="3">
                  <c:v>64.755609658188121</c:v>
                </c:pt>
                <c:pt idx="4" formatCode="0">
                  <c:v>88.571308262260175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E-481E-90B2-15676BCA3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32608"/>
        <c:axId val="114087424"/>
      </c:scatterChart>
      <c:valAx>
        <c:axId val="97332608"/>
        <c:scaling>
          <c:orientation val="minMax"/>
          <c:max val="18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087424"/>
        <c:crosses val="autoZero"/>
        <c:crossBetween val="midCat"/>
      </c:valAx>
      <c:valAx>
        <c:axId val="114087424"/>
        <c:scaling>
          <c:orientation val="minMax"/>
          <c:max val="18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332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 - v- a'!$D$4</c:f>
              <c:strCache>
                <c:ptCount val="1"/>
                <c:pt idx="0">
                  <c:v>a [m/s²]</c:v>
                </c:pt>
              </c:strCache>
            </c:strRef>
          </c:tx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a'!$D$5:$D$17</c:f>
              <c:numCache>
                <c:formatCode>General</c:formatCode>
                <c:ptCount val="13"/>
                <c:pt idx="2">
                  <c:v>-12.499999999999996</c:v>
                </c:pt>
                <c:pt idx="3">
                  <c:v>-22.500000000000004</c:v>
                </c:pt>
                <c:pt idx="4">
                  <c:v>-17.499999999999996</c:v>
                </c:pt>
                <c:pt idx="5">
                  <c:v>-12.5</c:v>
                </c:pt>
                <c:pt idx="6">
                  <c:v>-4.9999999999999982</c:v>
                </c:pt>
                <c:pt idx="7">
                  <c:v>-14.999999999999998</c:v>
                </c:pt>
                <c:pt idx="8">
                  <c:v>-25</c:v>
                </c:pt>
                <c:pt idx="9">
                  <c:v>-4.9999999999999938</c:v>
                </c:pt>
                <c:pt idx="10">
                  <c:v>17.500000000000007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DE-4F3A-A862-287022C9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86240"/>
        <c:axId val="117396608"/>
      </c:scatterChart>
      <c:valAx>
        <c:axId val="1173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96608"/>
        <c:crosses val="autoZero"/>
        <c:crossBetween val="midCat"/>
      </c:valAx>
      <c:valAx>
        <c:axId val="11739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Beschleunigung (m/s²)</a:t>
                </a:r>
              </a:p>
            </c:rich>
          </c:tx>
          <c:layout>
            <c:manualLayout>
              <c:xMode val="edge"/>
              <c:yMode val="edge"/>
              <c:x val="4.0935672514619886E-3"/>
              <c:y val="0.1153738677402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86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4061838784674"/>
          <c:y val="0.10861462947181308"/>
          <c:w val="0.80701892649898321"/>
          <c:h val="0.659178440932382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 - v- s'!$B$10</c:f>
              <c:strCache>
                <c:ptCount val="1"/>
                <c:pt idx="0">
                  <c:v>a [m]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s'!$B$11:$B$25</c:f>
              <c:numCache>
                <c:formatCode>General</c:formatCode>
                <c:ptCount val="1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</c:v>
                </c:pt>
                <c:pt idx="7">
                  <c:v>-0.1</c:v>
                </c:pt>
                <c:pt idx="8">
                  <c:v>-0.2</c:v>
                </c:pt>
                <c:pt idx="9">
                  <c:v>-0.3</c:v>
                </c:pt>
                <c:pt idx="10">
                  <c:v>-0.4</c:v>
                </c:pt>
                <c:pt idx="11">
                  <c:v>-0.3</c:v>
                </c:pt>
                <c:pt idx="12">
                  <c:v>-0.1</c:v>
                </c:pt>
                <c:pt idx="13">
                  <c:v>0</c:v>
                </c:pt>
                <c:pt idx="1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8-4DBB-B06C-003111C5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49472"/>
        <c:axId val="117451776"/>
      </c:scatterChart>
      <c:valAx>
        <c:axId val="1174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51052723672698808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51776"/>
        <c:crosses val="autoZero"/>
        <c:crossBetween val="midCat"/>
      </c:valAx>
      <c:valAx>
        <c:axId val="11745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Beschleunigung [m/s²]</a:t>
                </a:r>
              </a:p>
            </c:rich>
          </c:tx>
          <c:layout>
            <c:manualLayout>
              <c:xMode val="edge"/>
              <c:yMode val="edge"/>
              <c:x val="2.2807017543859651E-2"/>
              <c:y val="0.10486930706695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49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94297429108577"/>
          <c:y val="0.11934204339491462"/>
          <c:w val="0.8172803618461878"/>
          <c:h val="0.6296321599800668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s'!$C$11:$C$25</c:f>
              <c:numCache>
                <c:formatCode>General</c:formatCode>
                <c:ptCount val="15"/>
                <c:pt idx="0">
                  <c:v>0</c:v>
                </c:pt>
                <c:pt idx="1">
                  <c:v>2.5000000000000001E-2</c:v>
                </c:pt>
                <c:pt idx="2">
                  <c:v>0.06</c:v>
                </c:pt>
                <c:pt idx="3">
                  <c:v>9.5000000000000001E-2</c:v>
                </c:pt>
                <c:pt idx="4">
                  <c:v>0.12</c:v>
                </c:pt>
                <c:pt idx="5">
                  <c:v>0.13500000000000001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0.12000000000000001</c:v>
                </c:pt>
                <c:pt idx="9">
                  <c:v>9.5000000000000001E-2</c:v>
                </c:pt>
                <c:pt idx="10">
                  <c:v>6.0000000000000005E-2</c:v>
                </c:pt>
                <c:pt idx="11">
                  <c:v>2.5000000000000008E-2</c:v>
                </c:pt>
                <c:pt idx="12">
                  <c:v>5.0000000000000044E-3</c:v>
                </c:pt>
                <c:pt idx="13">
                  <c:v>0</c:v>
                </c:pt>
                <c:pt idx="14">
                  <c:v>5.000000000000001E-3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9-4DBC-8CA5-8181E3C4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87872"/>
        <c:axId val="117490432"/>
      </c:scatterChart>
      <c:valAx>
        <c:axId val="11748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036814356173952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90432"/>
        <c:crosses val="autoZero"/>
        <c:crossBetween val="midCat"/>
      </c:valAx>
      <c:valAx>
        <c:axId val="1174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8.7565674255691769E-3"/>
              <c:y val="7.407450611883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87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7039627039626"/>
          <c:y val="0.12133891213389121"/>
          <c:w val="0.81701631701631705"/>
          <c:h val="0.62343096234309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s'!$D$11:$D$25</c:f>
              <c:numCache>
                <c:formatCode>General</c:formatCode>
                <c:ptCount val="15"/>
                <c:pt idx="0">
                  <c:v>1</c:v>
                </c:pt>
                <c:pt idx="1">
                  <c:v>1.00125</c:v>
                </c:pt>
                <c:pt idx="2">
                  <c:v>1.0055000000000001</c:v>
                </c:pt>
                <c:pt idx="3">
                  <c:v>1.01325</c:v>
                </c:pt>
                <c:pt idx="4">
                  <c:v>1.024</c:v>
                </c:pt>
                <c:pt idx="5">
                  <c:v>1.0367500000000001</c:v>
                </c:pt>
                <c:pt idx="6">
                  <c:v>1.0505</c:v>
                </c:pt>
                <c:pt idx="7">
                  <c:v>1.0642499999999999</c:v>
                </c:pt>
                <c:pt idx="8">
                  <c:v>1.077</c:v>
                </c:pt>
                <c:pt idx="9">
                  <c:v>1.08775</c:v>
                </c:pt>
                <c:pt idx="10">
                  <c:v>1.0954999999999999</c:v>
                </c:pt>
                <c:pt idx="11">
                  <c:v>1.09975</c:v>
                </c:pt>
                <c:pt idx="12">
                  <c:v>1.1012500000000001</c:v>
                </c:pt>
                <c:pt idx="13">
                  <c:v>1.1015000000000001</c:v>
                </c:pt>
                <c:pt idx="14">
                  <c:v>1.1017500000000002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CE-40A0-9399-82627C5B8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0960"/>
        <c:axId val="117803264"/>
      </c:scatterChart>
      <c:valAx>
        <c:axId val="1178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7902097902097901"/>
              <c:y val="0.86192468619246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03264"/>
        <c:crosses val="autoZero"/>
        <c:crossBetween val="midCat"/>
      </c:valAx>
      <c:valAx>
        <c:axId val="11780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8.7412587412587419E-3"/>
              <c:y val="0.2887029288702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0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4602515905"/>
          <c:y val="5.2930105566688299E-2"/>
          <c:w val="0.82396186387562065"/>
          <c:h val="0.8691702714702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Kniebeuge!$F$2:$F$4</c:f>
              <c:strCache>
                <c:ptCount val="3"/>
                <c:pt idx="0">
                  <c:v>Sprunggelenk</c:v>
                </c:pt>
                <c:pt idx="1">
                  <c:v>Kniegelenk</c:v>
                </c:pt>
                <c:pt idx="2">
                  <c:v>Hüftgelenk</c:v>
                </c:pt>
              </c:strCache>
            </c:strRef>
          </c:cat>
          <c:val>
            <c:numRef>
              <c:f>Kniebeuge!$G$2:$G$4</c:f>
              <c:numCache>
                <c:formatCode>0</c:formatCode>
                <c:ptCount val="3"/>
                <c:pt idx="0">
                  <c:v>47.06786363342853</c:v>
                </c:pt>
                <c:pt idx="1">
                  <c:v>153.67219999999998</c:v>
                </c:pt>
                <c:pt idx="2">
                  <c:v>138.87500000000003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D-4336-AC38-C1FD16C7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7568"/>
        <c:axId val="87759104"/>
      </c:barChart>
      <c:catAx>
        <c:axId val="877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591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57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80722891566266"/>
          <c:y val="8.1081437752664659E-2"/>
          <c:w val="0.76506024096385539"/>
          <c:h val="0.63964245338213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Geradengleichung!$F$5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Geradengleichung!$E$6:$E$16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Geradengleichung!$F$6:$F$16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A4-494C-9DBE-64219D907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80256"/>
        <c:axId val="114482560"/>
      </c:scatterChart>
      <c:valAx>
        <c:axId val="114480256"/>
        <c:scaling>
          <c:orientation val="minMax"/>
          <c:max val="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5722891566265065"/>
              <c:y val="0.85135513466222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2560"/>
        <c:crossesAt val="-4"/>
        <c:crossBetween val="midCat"/>
        <c:majorUnit val="1"/>
      </c:valAx>
      <c:valAx>
        <c:axId val="11448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1.5060240963855422E-2"/>
              <c:y val="0.36937078811094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0256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463077250479"/>
          <c:y val="8.4656522076110269E-2"/>
          <c:w val="0.79842342342342343"/>
          <c:h val="0.6560880460898544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Geradengleichung!$D$31</c:f>
              <c:strCache>
                <c:ptCount val="1"/>
                <c:pt idx="0">
                  <c:v>Weg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Geradengleichung!$D$32:$D$51</c:f>
              <c:numCache>
                <c:formatCode>0.0</c:formatCode>
                <c:ptCount val="20"/>
                <c:pt idx="0">
                  <c:v>-5</c:v>
                </c:pt>
                <c:pt idx="1">
                  <c:v>-4.8</c:v>
                </c:pt>
                <c:pt idx="2">
                  <c:v>-4.9000000000000004</c:v>
                </c:pt>
                <c:pt idx="3">
                  <c:v>-4</c:v>
                </c:pt>
                <c:pt idx="4">
                  <c:v>-3.1</c:v>
                </c:pt>
                <c:pt idx="5">
                  <c:v>-2</c:v>
                </c:pt>
                <c:pt idx="6">
                  <c:v>-1.9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5F-4276-ADF7-F12484D6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24160"/>
        <c:axId val="114934912"/>
      </c:scatterChart>
      <c:valAx>
        <c:axId val="11492416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[s]</a:t>
                </a:r>
              </a:p>
            </c:rich>
          </c:tx>
          <c:layout>
            <c:manualLayout>
              <c:xMode val="edge"/>
              <c:yMode val="edge"/>
              <c:x val="0.48986486486486486"/>
              <c:y val="0.85714730103181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34912"/>
        <c:crossesAt val="-6"/>
        <c:crossBetween val="midCat"/>
        <c:majorUnit val="1"/>
        <c:minorUnit val="0.1"/>
      </c:valAx>
      <c:valAx>
        <c:axId val="114934912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1.6891891891891893E-2"/>
              <c:y val="0.301588968045660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24160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61737888425"/>
          <c:y val="8.2901764141849854E-2"/>
          <c:w val="0.80952649848034408"/>
          <c:h val="0.83419900167736416"/>
        </c:manualLayout>
      </c:layout>
      <c:areaChart>
        <c:grouping val="standard"/>
        <c:varyColors val="0"/>
        <c:ser>
          <c:idx val="0"/>
          <c:order val="0"/>
          <c:tx>
            <c:strRef>
              <c:f>Geradengleichung!$B$68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Geradengleichung!$B$69:$B$74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2-49B7-9A9F-CC356C87819C}"/>
            </c:ext>
          </c:extLst>
        </c:ser>
        <c:ser>
          <c:idx val="1"/>
          <c:order val="1"/>
          <c:tx>
            <c:strRef>
              <c:f>Geradengleichung!$C$68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Geradengleichung!$C$69:$C$74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2-49B7-9A9F-CC356C87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116086656"/>
        <c:axId val="116088192"/>
      </c:areaChart>
      <c:catAx>
        <c:axId val="11608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088192"/>
        <c:crosses val="autoZero"/>
        <c:auto val="1"/>
        <c:lblAlgn val="ctr"/>
        <c:lblOffset val="100"/>
        <c:noMultiLvlLbl val="0"/>
      </c:catAx>
      <c:valAx>
        <c:axId val="11608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
</a:t>
                </a:r>
              </a:p>
            </c:rich>
          </c:tx>
          <c:layout>
            <c:manualLayout>
              <c:xMode val="edge"/>
              <c:yMode val="edge"/>
              <c:x val="2.0408163265306121E-2"/>
              <c:y val="0.38860212421633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08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59670875610488"/>
          <c:y val="0.11659218354160143"/>
          <c:w val="0.77780037038517003"/>
          <c:h val="0.681615842243208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Geradengleichung!$E$31</c:f>
              <c:strCache>
                <c:ptCount val="1"/>
                <c:pt idx="0">
                  <c:v>k(1)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Geradengleichung!$E$32:$E$51</c:f>
              <c:numCache>
                <c:formatCode>General</c:formatCode>
                <c:ptCount val="20"/>
                <c:pt idx="0">
                  <c:v>2.0000000000000018</c:v>
                </c:pt>
                <c:pt idx="1">
                  <c:v>-1.0000000000000053</c:v>
                </c:pt>
                <c:pt idx="2">
                  <c:v>9.0000000000000036</c:v>
                </c:pt>
                <c:pt idx="3">
                  <c:v>8.9999999999999982</c:v>
                </c:pt>
                <c:pt idx="4">
                  <c:v>11</c:v>
                </c:pt>
                <c:pt idx="5">
                  <c:v>1.0000000000000009</c:v>
                </c:pt>
                <c:pt idx="6">
                  <c:v>18.999999999999996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-0.99999999999999645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87-404F-97DB-F118F3C8DDCD}"/>
            </c:ext>
          </c:extLst>
        </c:ser>
        <c:ser>
          <c:idx val="1"/>
          <c:order val="1"/>
          <c:tx>
            <c:strRef>
              <c:f>Geradengleichung!$F$31</c:f>
              <c:strCache>
                <c:ptCount val="1"/>
                <c:pt idx="0">
                  <c:v>k(5)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Geradengleichung!$F$32:$F$51</c:f>
              <c:numCache>
                <c:formatCode>General</c:formatCode>
                <c:ptCount val="20"/>
                <c:pt idx="2">
                  <c:v>4.7499999999999991</c:v>
                </c:pt>
                <c:pt idx="3">
                  <c:v>6.9999999999999991</c:v>
                </c:pt>
                <c:pt idx="4">
                  <c:v>7.5000000000000009</c:v>
                </c:pt>
                <c:pt idx="5">
                  <c:v>10</c:v>
                </c:pt>
                <c:pt idx="6">
                  <c:v>10.249999999999998</c:v>
                </c:pt>
                <c:pt idx="7">
                  <c:v>10</c:v>
                </c:pt>
                <c:pt idx="8">
                  <c:v>12.25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2.5</c:v>
                </c:pt>
                <c:pt idx="17">
                  <c:v>2.2500000000000009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87-404F-97DB-F118F3C8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33888"/>
        <c:axId val="116135808"/>
      </c:scatterChart>
      <c:valAx>
        <c:axId val="11613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50168526913933742"/>
              <c:y val="0.84753551545967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35808"/>
        <c:crosses val="autoZero"/>
        <c:crossBetween val="midCat"/>
      </c:valAx>
      <c:valAx>
        <c:axId val="1161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1.1040123174109696E-3"/>
              <c:y val="0.1494293838934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33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47722191291743"/>
          <c:y val="0.11659239904428986"/>
          <c:w val="0.19528690226852952"/>
          <c:h val="0.1928255829007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646294213223347"/>
          <c:y val="3.19148936170212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72002861031391"/>
          <c:y val="0.15425531914893617"/>
          <c:w val="0.80290831114643424"/>
          <c:h val="0.579787234042553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Geradengleichung!$E$68</c:f>
              <c:strCache>
                <c:ptCount val="1"/>
                <c:pt idx="0">
                  <c:v>Ag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xVal>
            <c:numRef>
              <c:f>Geradengleichung!$B$69:$B$74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Geradengleichung!$E$69:$E$74</c:f>
              <c:numCache>
                <c:formatCode>General</c:formatCode>
                <c:ptCount val="6"/>
                <c:pt idx="0">
                  <c:v>0</c:v>
                </c:pt>
                <c:pt idx="1">
                  <c:v>0.30000000000000004</c:v>
                </c:pt>
                <c:pt idx="2" formatCode="0.00">
                  <c:v>0.75</c:v>
                </c:pt>
                <c:pt idx="3">
                  <c:v>1.25</c:v>
                </c:pt>
                <c:pt idx="4">
                  <c:v>1.85</c:v>
                </c:pt>
                <c:pt idx="5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49-406A-9F93-8FC95466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60384"/>
        <c:axId val="116166656"/>
      </c:scatterChart>
      <c:valAx>
        <c:axId val="116160384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6938918349492026"/>
              <c:y val="0.86170212765957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66656"/>
        <c:crosses val="autoZero"/>
        <c:crossBetween val="midCat"/>
      </c:valAx>
      <c:valAx>
        <c:axId val="1161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60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 - v- a'!$B$4</c:f>
              <c:strCache>
                <c:ptCount val="1"/>
                <c:pt idx="0">
                  <c:v>s [m]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a'!$B$5:$B$17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1.2</c:v>
                </c:pt>
                <c:pt idx="3">
                  <c:v>1.7</c:v>
                </c:pt>
                <c:pt idx="4">
                  <c:v>1.9</c:v>
                </c:pt>
                <c:pt idx="5">
                  <c:v>2</c:v>
                </c:pt>
                <c:pt idx="6">
                  <c:v>1.9</c:v>
                </c:pt>
                <c:pt idx="7">
                  <c:v>1.8</c:v>
                </c:pt>
                <c:pt idx="8">
                  <c:v>1.7</c:v>
                </c:pt>
                <c:pt idx="9">
                  <c:v>1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0-42E4-BC2B-18DA1163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792"/>
        <c:axId val="43923712"/>
      </c:scatterChart>
      <c:valAx>
        <c:axId val="4392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23712"/>
        <c:crosses val="autoZero"/>
        <c:crossBetween val="midCat"/>
      </c:valAx>
      <c:valAx>
        <c:axId val="4392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2.2807017543859651E-2"/>
              <c:y val="0.31086260284880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21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 - v- a'!$C$4</c:f>
              <c:strCache>
                <c:ptCount val="1"/>
                <c:pt idx="0">
                  <c:v>v [m/s]</c:v>
                </c:pt>
              </c:strCache>
            </c:strRef>
          </c:tx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a'!$C$5:$C$17</c:f>
              <c:numCache>
                <c:formatCode>0.0</c:formatCode>
                <c:ptCount val="13"/>
                <c:pt idx="1">
                  <c:v>5.9999999999999991</c:v>
                </c:pt>
                <c:pt idx="2">
                  <c:v>6</c:v>
                </c:pt>
                <c:pt idx="3">
                  <c:v>3.4999999999999996</c:v>
                </c:pt>
                <c:pt idx="4">
                  <c:v>1.5000000000000002</c:v>
                </c:pt>
                <c:pt idx="5">
                  <c:v>0</c:v>
                </c:pt>
                <c:pt idx="6">
                  <c:v>-1</c:v>
                </c:pt>
                <c:pt idx="7">
                  <c:v>-0.99999999999999944</c:v>
                </c:pt>
                <c:pt idx="8">
                  <c:v>-3.9999999999999991</c:v>
                </c:pt>
                <c:pt idx="9">
                  <c:v>-6.0000000000000009</c:v>
                </c:pt>
                <c:pt idx="10">
                  <c:v>-4.9999999999999982</c:v>
                </c:pt>
                <c:pt idx="11">
                  <c:v>-2.5000000000000004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4B-4A36-A7D2-9953B6A0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5712"/>
        <c:axId val="43957632"/>
      </c:scatterChart>
      <c:valAx>
        <c:axId val="4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57632"/>
        <c:crosses val="autoZero"/>
        <c:crossBetween val="midCat"/>
      </c:valAx>
      <c:valAx>
        <c:axId val="4395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2.5146198830409357E-2"/>
              <c:y val="0.11537386774021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557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58631</xdr:colOff>
      <xdr:row>0</xdr:row>
      <xdr:rowOff>37253</xdr:rowOff>
    </xdr:from>
    <xdr:to>
      <xdr:col>13</xdr:col>
      <xdr:colOff>381000</xdr:colOff>
      <xdr:row>23</xdr:row>
      <xdr:rowOff>150071</xdr:rowOff>
    </xdr:to>
    <xdr:graphicFrame macro="">
      <xdr:nvGraphicFramePr>
        <xdr:cNvPr id="5176" name="Diagramm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445346</xdr:colOff>
      <xdr:row>0</xdr:row>
      <xdr:rowOff>37252</xdr:rowOff>
    </xdr:from>
    <xdr:to>
      <xdr:col>17</xdr:col>
      <xdr:colOff>658706</xdr:colOff>
      <xdr:row>23</xdr:row>
      <xdr:rowOff>143933</xdr:rowOff>
    </xdr:to>
    <xdr:graphicFrame macro="">
      <xdr:nvGraphicFramePr>
        <xdr:cNvPr id="5177" name="Diagramm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19</xdr:col>
      <xdr:colOff>705907</xdr:colOff>
      <xdr:row>13</xdr:row>
      <xdr:rowOff>21167</xdr:rowOff>
    </xdr:from>
    <xdr:ext cx="1790700" cy="2800350"/>
    <xdr:pic>
      <xdr:nvPicPr>
        <xdr:cNvPr id="13" name="Pictur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66" t="32684" r="43260" b="37193"/>
        <a:stretch>
          <a:fillRect/>
        </a:stretch>
      </xdr:blipFill>
      <xdr:spPr bwMode="auto">
        <a:xfrm>
          <a:off x="11924240" y="5389034"/>
          <a:ext cx="1790700" cy="2800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20</xdr:col>
      <xdr:colOff>198968</xdr:colOff>
      <xdr:row>20</xdr:row>
      <xdr:rowOff>85723</xdr:rowOff>
    </xdr:from>
    <xdr:to>
      <xdr:col>21</xdr:col>
      <xdr:colOff>381000</xdr:colOff>
      <xdr:row>20</xdr:row>
      <xdr:rowOff>101600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2204701" y="6816723"/>
          <a:ext cx="969432" cy="15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809625</xdr:colOff>
      <xdr:row>27</xdr:row>
      <xdr:rowOff>28575</xdr:rowOff>
    </xdr:from>
    <xdr:to>
      <xdr:col>20</xdr:col>
      <xdr:colOff>2028825</xdr:colOff>
      <xdr:row>27</xdr:row>
      <xdr:rowOff>28575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09625" y="1016317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257175</xdr:colOff>
      <xdr:row>17</xdr:row>
      <xdr:rowOff>180975</xdr:rowOff>
    </xdr:from>
    <xdr:ext cx="1425198" cy="229550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3563600" y="1133475"/>
          <a:ext cx="1425198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Oberkörperwinkel</a:t>
          </a:r>
        </a:p>
      </xdr:txBody>
    </xdr:sp>
    <xdr:clientData/>
  </xdr:oneCellAnchor>
  <xdr:oneCellAnchor>
    <xdr:from>
      <xdr:col>22</xdr:col>
      <xdr:colOff>242358</xdr:colOff>
      <xdr:row>20</xdr:row>
      <xdr:rowOff>170391</xdr:rowOff>
    </xdr:from>
    <xdr:ext cx="1664815" cy="22955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3822891" y="6901391"/>
          <a:ext cx="1664815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Oberschenkelwinkel</a:t>
          </a:r>
        </a:p>
      </xdr:txBody>
    </xdr:sp>
    <xdr:clientData/>
  </xdr:oneCellAnchor>
  <xdr:oneCellAnchor>
    <xdr:from>
      <xdr:col>22</xdr:col>
      <xdr:colOff>271992</xdr:colOff>
      <xdr:row>24</xdr:row>
      <xdr:rowOff>62441</xdr:rowOff>
    </xdr:from>
    <xdr:ext cx="1664815" cy="229550"/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3852525" y="7657041"/>
          <a:ext cx="1664815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Unterschenkelwinkel</a:t>
          </a:r>
        </a:p>
      </xdr:txBody>
    </xdr:sp>
    <xdr:clientData/>
  </xdr:oneCellAnchor>
  <xdr:twoCellAnchor>
    <xdr:from>
      <xdr:col>21</xdr:col>
      <xdr:colOff>7408</xdr:colOff>
      <xdr:row>25</xdr:row>
      <xdr:rowOff>118534</xdr:rowOff>
    </xdr:from>
    <xdr:to>
      <xdr:col>21</xdr:col>
      <xdr:colOff>651933</xdr:colOff>
      <xdr:row>25</xdr:row>
      <xdr:rowOff>118534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2800541" y="7907867"/>
          <a:ext cx="64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110067</xdr:colOff>
      <xdr:row>21</xdr:row>
      <xdr:rowOff>101600</xdr:rowOff>
    </xdr:from>
    <xdr:to>
      <xdr:col>21</xdr:col>
      <xdr:colOff>602192</xdr:colOff>
      <xdr:row>21</xdr:row>
      <xdr:rowOff>104774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2115800" y="7027333"/>
          <a:ext cx="1279525" cy="31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516467</xdr:colOff>
      <xdr:row>18</xdr:row>
      <xdr:rowOff>93134</xdr:rowOff>
    </xdr:from>
    <xdr:to>
      <xdr:col>20</xdr:col>
      <xdr:colOff>584201</xdr:colOff>
      <xdr:row>22</xdr:row>
      <xdr:rowOff>93133</xdr:rowOff>
    </xdr:to>
    <xdr:sp macro="" textlink="">
      <xdr:nvSpPr>
        <xdr:cNvPr id="2" name="Teilkreis 1">
          <a:extLst>
            <a:ext uri="{FF2B5EF4-FFF2-40B4-BE49-F238E27FC236}">
              <a16:creationId xmlns:a16="http://schemas.microsoft.com/office/drawing/2014/main" id="{67F16E13-1DFA-4E22-BE39-59A4E18F3009}"/>
            </a:ext>
          </a:extLst>
        </xdr:cNvPr>
        <xdr:cNvSpPr/>
      </xdr:nvSpPr>
      <xdr:spPr bwMode="auto">
        <a:xfrm>
          <a:off x="11734800" y="6434667"/>
          <a:ext cx="855134" cy="778933"/>
        </a:xfrm>
        <a:prstGeom prst="pie">
          <a:avLst>
            <a:gd name="adj1" fmla="val 18257551"/>
            <a:gd name="adj2" fmla="val 21096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20</xdr:col>
      <xdr:colOff>355600</xdr:colOff>
      <xdr:row>23</xdr:row>
      <xdr:rowOff>194734</xdr:rowOff>
    </xdr:from>
    <xdr:to>
      <xdr:col>21</xdr:col>
      <xdr:colOff>423334</xdr:colOff>
      <xdr:row>27</xdr:row>
      <xdr:rowOff>59267</xdr:rowOff>
    </xdr:to>
    <xdr:sp macro="" textlink="">
      <xdr:nvSpPr>
        <xdr:cNvPr id="58" name="Teilkreis 57">
          <a:extLst>
            <a:ext uri="{FF2B5EF4-FFF2-40B4-BE49-F238E27FC236}">
              <a16:creationId xmlns:a16="http://schemas.microsoft.com/office/drawing/2014/main" id="{0277C627-A213-47FD-9C0C-820867696943}"/>
            </a:ext>
          </a:extLst>
        </xdr:cNvPr>
        <xdr:cNvSpPr/>
      </xdr:nvSpPr>
      <xdr:spPr bwMode="auto">
        <a:xfrm>
          <a:off x="12361333" y="7509934"/>
          <a:ext cx="855134" cy="778933"/>
        </a:xfrm>
        <a:prstGeom prst="pie">
          <a:avLst>
            <a:gd name="adj1" fmla="val 18257551"/>
            <a:gd name="adj2" fmla="val 21096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20</xdr:col>
      <xdr:colOff>668656</xdr:colOff>
      <xdr:row>18</xdr:row>
      <xdr:rowOff>173144</xdr:rowOff>
    </xdr:from>
    <xdr:to>
      <xdr:col>21</xdr:col>
      <xdr:colOff>901276</xdr:colOff>
      <xdr:row>24</xdr:row>
      <xdr:rowOff>45720</xdr:rowOff>
    </xdr:to>
    <xdr:sp macro="" textlink="">
      <xdr:nvSpPr>
        <xdr:cNvPr id="59" name="Teilkreis 58">
          <a:extLst>
            <a:ext uri="{FF2B5EF4-FFF2-40B4-BE49-F238E27FC236}">
              <a16:creationId xmlns:a16="http://schemas.microsoft.com/office/drawing/2014/main" id="{8C8D99CF-0BF9-4D85-94D3-FB1CF0069FBE}"/>
            </a:ext>
          </a:extLst>
        </xdr:cNvPr>
        <xdr:cNvSpPr/>
      </xdr:nvSpPr>
      <xdr:spPr bwMode="auto">
        <a:xfrm>
          <a:off x="16554239" y="4131311"/>
          <a:ext cx="1513204" cy="1015576"/>
        </a:xfrm>
        <a:prstGeom prst="pie">
          <a:avLst>
            <a:gd name="adj1" fmla="val 10807688"/>
            <a:gd name="adj2" fmla="val 11523767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18</xdr:col>
      <xdr:colOff>64495</xdr:colOff>
      <xdr:row>0</xdr:row>
      <xdr:rowOff>66463</xdr:rowOff>
    </xdr:from>
    <xdr:to>
      <xdr:col>18</xdr:col>
      <xdr:colOff>2998940</xdr:colOff>
      <xdr:row>10</xdr:row>
      <xdr:rowOff>76200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9F8DB61-C1C2-4C95-988E-72F7CE839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56795" y="66463"/>
          <a:ext cx="2940160" cy="222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323850</xdr:colOff>
      <xdr:row>15</xdr:row>
      <xdr:rowOff>152400</xdr:rowOff>
    </xdr:to>
    <xdr:graphicFrame macro="">
      <xdr:nvGraphicFramePr>
        <xdr:cNvPr id="3101" name="Diagramm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0</xdr:rowOff>
    </xdr:from>
    <xdr:to>
      <xdr:col>0</xdr:col>
      <xdr:colOff>2838450</xdr:colOff>
      <xdr:row>40</xdr:row>
      <xdr:rowOff>123825</xdr:rowOff>
    </xdr:to>
    <xdr:graphicFrame macro="">
      <xdr:nvGraphicFramePr>
        <xdr:cNvPr id="3102" name="Diagramm 2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2800350</xdr:colOff>
      <xdr:row>78</xdr:row>
      <xdr:rowOff>9525</xdr:rowOff>
    </xdr:to>
    <xdr:graphicFrame macro="">
      <xdr:nvGraphicFramePr>
        <xdr:cNvPr id="3103" name="Diagramm 3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52</xdr:row>
      <xdr:rowOff>152400</xdr:rowOff>
    </xdr:to>
    <xdr:graphicFrame macro="">
      <xdr:nvGraphicFramePr>
        <xdr:cNvPr id="3104" name="Diagramm 7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8467</xdr:rowOff>
    </xdr:from>
    <xdr:to>
      <xdr:col>0</xdr:col>
      <xdr:colOff>2804583</xdr:colOff>
      <xdr:row>89</xdr:row>
      <xdr:rowOff>17993</xdr:rowOff>
    </xdr:to>
    <xdr:graphicFrame macro="">
      <xdr:nvGraphicFramePr>
        <xdr:cNvPr id="3105" name="Diagramm 8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0</xdr:rowOff>
    </xdr:from>
    <xdr:to>
      <xdr:col>14</xdr:col>
      <xdr:colOff>85725</xdr:colOff>
      <xdr:row>7</xdr:row>
      <xdr:rowOff>733425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</xdr:row>
      <xdr:rowOff>742950</xdr:rowOff>
    </xdr:from>
    <xdr:to>
      <xdr:col>14</xdr:col>
      <xdr:colOff>85725</xdr:colOff>
      <xdr:row>18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19</xdr:row>
      <xdr:rowOff>38100</xdr:rowOff>
    </xdr:from>
    <xdr:to>
      <xdr:col>14</xdr:col>
      <xdr:colOff>66675</xdr:colOff>
      <xdr:row>33</xdr:row>
      <xdr:rowOff>38100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0</xdr:rowOff>
    </xdr:from>
    <xdr:to>
      <xdr:col>14</xdr:col>
      <xdr:colOff>85725</xdr:colOff>
      <xdr:row>7</xdr:row>
      <xdr:rowOff>733425</xdr:rowOff>
    </xdr:to>
    <xdr:graphicFrame macro="">
      <xdr:nvGraphicFramePr>
        <xdr:cNvPr id="2064" name="Diagramm 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</xdr:row>
      <xdr:rowOff>742950</xdr:rowOff>
    </xdr:from>
    <xdr:to>
      <xdr:col>14</xdr:col>
      <xdr:colOff>95250</xdr:colOff>
      <xdr:row>17</xdr:row>
      <xdr:rowOff>152400</xdr:rowOff>
    </xdr:to>
    <xdr:graphicFrame macro="">
      <xdr:nvGraphicFramePr>
        <xdr:cNvPr id="2065" name="Diagramm 2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17</xdr:row>
      <xdr:rowOff>180975</xdr:rowOff>
    </xdr:from>
    <xdr:to>
      <xdr:col>14</xdr:col>
      <xdr:colOff>95250</xdr:colOff>
      <xdr:row>31</xdr:row>
      <xdr:rowOff>123825</xdr:rowOff>
    </xdr:to>
    <xdr:graphicFrame macro="">
      <xdr:nvGraphicFramePr>
        <xdr:cNvPr id="2066" name="Diagramm 3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ndlage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iebeuge"/>
      <sheetName val="Leistung"/>
      <sheetName val="Formeln"/>
      <sheetName val="Geradengleichung"/>
      <sheetName val="s - v- a"/>
      <sheetName val="a - v- s"/>
    </sheetNames>
    <sheetDataSet>
      <sheetData sheetId="0" refreshError="1"/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2</v>
          </cell>
        </row>
        <row r="29">
          <cell r="C29">
            <v>0.1</v>
          </cell>
        </row>
        <row r="65">
          <cell r="C65">
            <v>0</v>
          </cell>
        </row>
      </sheetData>
      <sheetData sheetId="4">
        <row r="4">
          <cell r="B4" t="str">
            <v>s [m]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zoomScaleNormal="100" workbookViewId="0">
      <selection activeCell="B12" sqref="B12"/>
    </sheetView>
  </sheetViews>
  <sheetFormatPr baseColWidth="10" defaultColWidth="11.42578125" defaultRowHeight="15" x14ac:dyDescent="0.2"/>
  <cols>
    <col min="1" max="1" width="33.28515625" style="61" customWidth="1"/>
    <col min="2" max="2" width="7.7109375" style="61" customWidth="1"/>
    <col min="3" max="3" width="6.28515625" style="61" customWidth="1"/>
    <col min="4" max="4" width="5.5703125" style="61" customWidth="1"/>
    <col min="5" max="5" width="6" style="61" customWidth="1"/>
    <col min="6" max="6" width="22.28515625" style="61" customWidth="1"/>
    <col min="7" max="7" width="6.42578125" style="61" customWidth="1"/>
    <col min="8" max="18" width="11.42578125" style="61"/>
    <col min="19" max="19" width="72.85546875" style="61" customWidth="1"/>
    <col min="20" max="20" width="11.42578125" style="61"/>
    <col min="21" max="21" width="18.5703125" style="61" customWidth="1"/>
    <col min="22" max="22" width="16.85546875" style="61" customWidth="1"/>
    <col min="23" max="16384" width="11.42578125" style="61"/>
  </cols>
  <sheetData>
    <row r="1" spans="1:23" ht="15.75" x14ac:dyDescent="0.25">
      <c r="A1" s="182" t="s">
        <v>122</v>
      </c>
      <c r="B1" s="181">
        <v>70</v>
      </c>
      <c r="C1" s="182" t="s">
        <v>14</v>
      </c>
      <c r="D1" s="183"/>
      <c r="E1" s="183"/>
      <c r="F1" s="184" t="s">
        <v>315</v>
      </c>
      <c r="G1" s="183"/>
      <c r="H1" s="183"/>
      <c r="R1" s="183"/>
      <c r="S1" s="183"/>
      <c r="U1" s="61" t="s">
        <v>316</v>
      </c>
      <c r="V1" s="61" t="s">
        <v>317</v>
      </c>
      <c r="W1" s="61" t="s">
        <v>318</v>
      </c>
    </row>
    <row r="2" spans="1:23" ht="20.25" x14ac:dyDescent="0.3">
      <c r="A2" s="182" t="s">
        <v>123</v>
      </c>
      <c r="B2" s="181">
        <v>43</v>
      </c>
      <c r="C2" s="182" t="s">
        <v>124</v>
      </c>
      <c r="D2" s="183"/>
      <c r="E2" s="183"/>
      <c r="F2" s="185" t="s">
        <v>136</v>
      </c>
      <c r="G2" s="180">
        <f>+(B1+B10-G19) * (B29-B21)/20</f>
        <v>47.06786363342853</v>
      </c>
      <c r="H2" s="183" t="s">
        <v>23</v>
      </c>
      <c r="R2" s="183"/>
      <c r="S2" s="183"/>
      <c r="U2" s="61" t="s">
        <v>319</v>
      </c>
      <c r="V2" s="61">
        <v>7</v>
      </c>
      <c r="W2" s="61" t="s">
        <v>332</v>
      </c>
    </row>
    <row r="3" spans="1:23" ht="20.25" x14ac:dyDescent="0.3">
      <c r="A3" s="182" t="s">
        <v>125</v>
      </c>
      <c r="B3" s="181">
        <v>44</v>
      </c>
      <c r="C3" s="182" t="s">
        <v>124</v>
      </c>
      <c r="D3" s="183"/>
      <c r="E3" s="183"/>
      <c r="F3" s="185" t="s">
        <v>141</v>
      </c>
      <c r="G3" s="180">
        <f>+(G26) * (B22-B30)/20</f>
        <v>153.67219999999998</v>
      </c>
      <c r="H3" s="183" t="s">
        <v>23</v>
      </c>
      <c r="R3" s="183"/>
      <c r="S3" s="183"/>
      <c r="U3" s="61" t="s">
        <v>320</v>
      </c>
      <c r="V3" s="61">
        <v>43</v>
      </c>
      <c r="W3" s="61">
        <v>44</v>
      </c>
    </row>
    <row r="4" spans="1:23" ht="20.25" x14ac:dyDescent="0.3">
      <c r="A4" s="182" t="s">
        <v>126</v>
      </c>
      <c r="B4" s="181">
        <v>55</v>
      </c>
      <c r="C4" s="182" t="s">
        <v>124</v>
      </c>
      <c r="D4" s="183"/>
      <c r="E4" s="183"/>
      <c r="F4" s="185" t="s">
        <v>142</v>
      </c>
      <c r="G4" s="180">
        <f>G27 * (B31-B23)/20</f>
        <v>138.87500000000003</v>
      </c>
      <c r="H4" s="183" t="s">
        <v>23</v>
      </c>
      <c r="R4" s="183"/>
      <c r="S4" s="183"/>
      <c r="U4" s="61" t="s">
        <v>321</v>
      </c>
      <c r="V4" s="61">
        <v>2.7</v>
      </c>
      <c r="W4" s="61">
        <v>47</v>
      </c>
    </row>
    <row r="5" spans="1:23" x14ac:dyDescent="0.2">
      <c r="A5" s="182" t="s">
        <v>330</v>
      </c>
      <c r="B5" s="181">
        <v>3</v>
      </c>
      <c r="C5" s="182" t="s">
        <v>127</v>
      </c>
      <c r="D5" s="186">
        <f>$B$1*B5/100</f>
        <v>2.1</v>
      </c>
      <c r="E5" s="186">
        <v>0.44</v>
      </c>
      <c r="F5" s="183"/>
      <c r="G5" s="183"/>
      <c r="H5" s="183"/>
      <c r="R5" s="183"/>
      <c r="S5" s="183"/>
      <c r="U5" s="61" t="s">
        <v>322</v>
      </c>
      <c r="V5" s="61">
        <v>2.7</v>
      </c>
      <c r="W5" s="61">
        <v>47</v>
      </c>
    </row>
    <row r="6" spans="1:23" x14ac:dyDescent="0.2">
      <c r="A6" s="182" t="s">
        <v>331</v>
      </c>
      <c r="B6" s="181">
        <v>9</v>
      </c>
      <c r="C6" s="182" t="s">
        <v>127</v>
      </c>
      <c r="D6" s="186">
        <f>$B$1*B6/100</f>
        <v>6.3</v>
      </c>
      <c r="E6" s="186">
        <v>0.42</v>
      </c>
      <c r="F6" s="183"/>
      <c r="G6" s="183"/>
      <c r="H6" s="183"/>
      <c r="R6" s="183"/>
      <c r="S6" s="183"/>
      <c r="U6" s="61" t="s">
        <v>323</v>
      </c>
      <c r="V6" s="61">
        <v>1.6</v>
      </c>
      <c r="W6" s="61">
        <v>42</v>
      </c>
    </row>
    <row r="7" spans="1:23" x14ac:dyDescent="0.2">
      <c r="A7" s="182" t="s">
        <v>128</v>
      </c>
      <c r="B7" s="181">
        <v>28</v>
      </c>
      <c r="C7" s="182" t="s">
        <v>127</v>
      </c>
      <c r="D7" s="186">
        <f t="shared" ref="D7:D8" si="0">$B$1*B7/100</f>
        <v>19.600000000000001</v>
      </c>
      <c r="E7" s="186">
        <v>0.44</v>
      </c>
      <c r="F7" s="183"/>
      <c r="G7" s="183"/>
      <c r="H7" s="183"/>
      <c r="R7" s="183"/>
      <c r="S7" s="183"/>
      <c r="U7" s="61" t="s">
        <v>324</v>
      </c>
      <c r="V7" s="61">
        <v>1.6</v>
      </c>
      <c r="W7" s="61">
        <v>42</v>
      </c>
    </row>
    <row r="8" spans="1:23" x14ac:dyDescent="0.2">
      <c r="A8" s="182" t="s">
        <v>129</v>
      </c>
      <c r="B8" s="181">
        <v>60</v>
      </c>
      <c r="C8" s="182" t="s">
        <v>127</v>
      </c>
      <c r="D8" s="186">
        <f t="shared" si="0"/>
        <v>42</v>
      </c>
      <c r="E8" s="186">
        <v>0.5</v>
      </c>
      <c r="F8" s="183"/>
      <c r="G8" s="183"/>
      <c r="H8" s="183"/>
      <c r="R8" s="183"/>
      <c r="S8" s="183"/>
      <c r="U8" s="61" t="s">
        <v>325</v>
      </c>
      <c r="V8" s="61">
        <v>0.7</v>
      </c>
      <c r="W8" s="61" t="s">
        <v>333</v>
      </c>
    </row>
    <row r="9" spans="1:23" x14ac:dyDescent="0.2">
      <c r="A9" s="183"/>
      <c r="B9" s="183"/>
      <c r="C9" s="183"/>
      <c r="D9" s="183"/>
      <c r="E9" s="183"/>
      <c r="F9" s="183"/>
      <c r="G9" s="183"/>
      <c r="H9" s="183"/>
      <c r="R9" s="183"/>
      <c r="S9" s="183"/>
      <c r="U9" s="61" t="s">
        <v>326</v>
      </c>
      <c r="V9" s="61">
        <v>0.7</v>
      </c>
      <c r="W9" s="61" t="s">
        <v>333</v>
      </c>
    </row>
    <row r="10" spans="1:23" ht="20.25" x14ac:dyDescent="0.3">
      <c r="A10" s="187" t="s">
        <v>130</v>
      </c>
      <c r="B10" s="179">
        <v>80</v>
      </c>
      <c r="C10" s="188" t="s">
        <v>14</v>
      </c>
      <c r="D10" s="183"/>
      <c r="E10" s="183"/>
      <c r="F10" s="183"/>
      <c r="G10" s="183"/>
      <c r="H10" s="183"/>
      <c r="R10" s="183"/>
      <c r="S10" s="183"/>
      <c r="U10" s="61" t="s">
        <v>327</v>
      </c>
      <c r="V10" s="61">
        <v>14</v>
      </c>
      <c r="W10" s="61">
        <v>44</v>
      </c>
    </row>
    <row r="11" spans="1:23" ht="20.25" x14ac:dyDescent="0.3">
      <c r="A11" s="188" t="s">
        <v>131</v>
      </c>
      <c r="B11" s="179">
        <v>50</v>
      </c>
      <c r="C11" s="188" t="s">
        <v>132</v>
      </c>
      <c r="D11" s="189">
        <f>RADIANS(B11)</f>
        <v>0.87266462599716477</v>
      </c>
      <c r="E11" s="189"/>
      <c r="F11" s="189"/>
      <c r="G11" s="183"/>
      <c r="H11" s="183"/>
      <c r="R11" s="183"/>
      <c r="S11" s="183"/>
      <c r="U11" s="61" t="s">
        <v>328</v>
      </c>
      <c r="V11" s="61">
        <v>14</v>
      </c>
      <c r="W11" s="61">
        <v>44</v>
      </c>
    </row>
    <row r="12" spans="1:23" ht="20.25" x14ac:dyDescent="0.3">
      <c r="A12" s="188" t="s">
        <v>311</v>
      </c>
      <c r="B12" s="179">
        <v>0</v>
      </c>
      <c r="C12" s="188" t="s">
        <v>132</v>
      </c>
      <c r="D12" s="189">
        <f>RADIANS(-B12+180)</f>
        <v>3.1415926535897931</v>
      </c>
      <c r="E12" s="189"/>
      <c r="F12" s="189"/>
      <c r="G12" s="183"/>
      <c r="H12" s="183"/>
      <c r="R12" s="183"/>
      <c r="S12" s="183"/>
      <c r="U12" s="61" t="s">
        <v>329</v>
      </c>
      <c r="V12" s="61">
        <v>4.5</v>
      </c>
      <c r="W12" s="61">
        <v>42</v>
      </c>
    </row>
    <row r="13" spans="1:23" ht="20.25" x14ac:dyDescent="0.3">
      <c r="A13" s="188" t="s">
        <v>133</v>
      </c>
      <c r="B13" s="179">
        <v>60</v>
      </c>
      <c r="C13" s="188" t="s">
        <v>132</v>
      </c>
      <c r="D13" s="189">
        <f t="shared" ref="D13" si="1">RADIANS(B13)</f>
        <v>1.0471975511965976</v>
      </c>
      <c r="E13" s="189"/>
      <c r="F13" s="189"/>
      <c r="G13" s="183"/>
      <c r="H13" s="183"/>
      <c r="R13" s="183"/>
      <c r="S13" s="183"/>
    </row>
    <row r="14" spans="1:23" x14ac:dyDescent="0.2">
      <c r="A14" s="183"/>
      <c r="B14" s="183"/>
      <c r="C14" s="183"/>
      <c r="D14" s="189"/>
      <c r="E14" s="189"/>
      <c r="F14" s="189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23" x14ac:dyDescent="0.2">
      <c r="A15" s="183"/>
      <c r="B15" s="183"/>
      <c r="C15" s="183"/>
      <c r="D15" s="189"/>
      <c r="E15" s="189"/>
      <c r="F15" s="18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23" x14ac:dyDescent="0.2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x14ac:dyDescent="0.2">
      <c r="A17" s="186"/>
      <c r="B17" s="186" t="s">
        <v>341</v>
      </c>
      <c r="C17" s="186"/>
      <c r="D17" s="186" t="s">
        <v>335</v>
      </c>
      <c r="E17" s="186"/>
      <c r="F17" s="186"/>
      <c r="G17" s="186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x14ac:dyDescent="0.2">
      <c r="A18" s="186"/>
      <c r="B18" s="193" t="s">
        <v>342</v>
      </c>
      <c r="C18" s="193" t="s">
        <v>343</v>
      </c>
      <c r="D18" s="193" t="s">
        <v>342</v>
      </c>
      <c r="E18" s="193" t="s">
        <v>343</v>
      </c>
      <c r="F18" s="186"/>
      <c r="G18" s="186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x14ac:dyDescent="0.2">
      <c r="A19" s="186" t="s">
        <v>135</v>
      </c>
      <c r="B19" s="193">
        <v>77</v>
      </c>
      <c r="C19" s="193">
        <v>0</v>
      </c>
      <c r="D19" s="193">
        <f>B20+(B19-B20)*E5</f>
        <v>61.88</v>
      </c>
      <c r="E19" s="193">
        <f>C21+(C20-C21)*(1-E5)</f>
        <v>3.5199999999999996</v>
      </c>
      <c r="F19" s="186" t="s">
        <v>334</v>
      </c>
      <c r="G19" s="186">
        <f>D5</f>
        <v>2.1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x14ac:dyDescent="0.2">
      <c r="A20" s="186" t="s">
        <v>134</v>
      </c>
      <c r="B20" s="193">
        <v>50</v>
      </c>
      <c r="C20" s="193">
        <v>0</v>
      </c>
      <c r="D20" s="193">
        <f>B22-(B22-B21)*E6</f>
        <v>71.0311229855823</v>
      </c>
      <c r="E20" s="193">
        <f>C22-(C22-C21)*E6</f>
        <v>27.105148411387312</v>
      </c>
      <c r="F20" s="186" t="s">
        <v>336</v>
      </c>
      <c r="G20" s="186">
        <f>D6</f>
        <v>6.3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x14ac:dyDescent="0.2">
      <c r="A21" s="186" t="s">
        <v>136</v>
      </c>
      <c r="B21" s="193">
        <v>55</v>
      </c>
      <c r="C21" s="193">
        <v>8</v>
      </c>
      <c r="D21" s="193">
        <f>B23-(B23-B22)*E7</f>
        <v>57.999867216521196</v>
      </c>
      <c r="E21" s="193">
        <f>C23-(C23-C22)*E7</f>
        <v>40.93991105411606</v>
      </c>
      <c r="F21" s="186" t="s">
        <v>337</v>
      </c>
      <c r="G21" s="186">
        <f>D7</f>
        <v>19.600000000000001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x14ac:dyDescent="0.2">
      <c r="A22" s="186" t="s">
        <v>137</v>
      </c>
      <c r="B22" s="194">
        <f>+B21+B2*COS(D11)</f>
        <v>82.639867216521196</v>
      </c>
      <c r="C22" s="194">
        <f>+C21+B2*SIN(D11)</f>
        <v>40.939911054116052</v>
      </c>
      <c r="D22" s="193">
        <f>(B23+B24)/2</f>
        <v>52.389867216521196</v>
      </c>
      <c r="E22" s="193">
        <f>(C23+C24)/2</f>
        <v>64.755609658188121</v>
      </c>
      <c r="F22" s="186" t="s">
        <v>338</v>
      </c>
      <c r="G22" s="186">
        <f>D8</f>
        <v>42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x14ac:dyDescent="0.2">
      <c r="A23" s="186" t="s">
        <v>138</v>
      </c>
      <c r="B23" s="194">
        <f>+B22+B3*COS(D12)</f>
        <v>38.639867216521196</v>
      </c>
      <c r="C23" s="194">
        <f>+C22+B3*SIN(D12)</f>
        <v>40.93991105411606</v>
      </c>
      <c r="D23" s="194">
        <f>B24</f>
        <v>66.139867216521196</v>
      </c>
      <c r="E23" s="194">
        <f>C24</f>
        <v>88.571308262260175</v>
      </c>
      <c r="F23" s="186" t="s">
        <v>339</v>
      </c>
      <c r="G23" s="186">
        <f>B10</f>
        <v>80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 x14ac:dyDescent="0.2">
      <c r="A24" s="186" t="s">
        <v>139</v>
      </c>
      <c r="B24" s="194">
        <f>+B23+B4*COS(D13)</f>
        <v>66.139867216521196</v>
      </c>
      <c r="C24" s="194">
        <f>+C23+B4*SIN(D13)</f>
        <v>88.571308262260175</v>
      </c>
      <c r="D24" s="194"/>
      <c r="E24" s="194"/>
      <c r="F24" s="186" t="s">
        <v>340</v>
      </c>
      <c r="G24" s="186">
        <f>SUM(G19:G23)</f>
        <v>150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x14ac:dyDescent="0.2">
      <c r="A25" s="186"/>
      <c r="B25" s="193"/>
      <c r="C25" s="193"/>
      <c r="D25" s="193"/>
      <c r="E25" s="193"/>
      <c r="F25" s="186" t="s">
        <v>348</v>
      </c>
      <c r="G25" s="186">
        <f>G24-G19</f>
        <v>147.9</v>
      </c>
      <c r="H25" s="183"/>
      <c r="I25" s="183" t="s">
        <v>351</v>
      </c>
      <c r="J25" s="183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x14ac:dyDescent="0.2">
      <c r="A26" s="186" t="s">
        <v>344</v>
      </c>
      <c r="B26" s="195">
        <f>(D19*G19+D20*G20+D21*G21+D22*G22+D23*G23)/G24</f>
        <v>61.372035151123804</v>
      </c>
      <c r="C26" s="195">
        <f>(E19*G19+E20*G20+E21*G21+E22*G22+E23*G23)/G24</f>
        <v>71.906779721847542</v>
      </c>
      <c r="D26" s="186"/>
      <c r="E26" s="186"/>
      <c r="F26" s="186" t="s">
        <v>349</v>
      </c>
      <c r="G26" s="186">
        <f>G25-G20</f>
        <v>141.6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x14ac:dyDescent="0.2">
      <c r="A27" s="186" t="s">
        <v>140</v>
      </c>
      <c r="B27" s="195">
        <f>B26</f>
        <v>61.372035151123804</v>
      </c>
      <c r="C27" s="195">
        <v>0</v>
      </c>
      <c r="D27" s="193"/>
      <c r="E27" s="193"/>
      <c r="F27" s="186" t="s">
        <v>350</v>
      </c>
      <c r="G27" s="186">
        <f>G26-G21</f>
        <v>122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x14ac:dyDescent="0.2">
      <c r="A28" s="183"/>
      <c r="B28" s="183"/>
      <c r="C28" s="183"/>
      <c r="D28" s="186"/>
      <c r="E28" s="186"/>
      <c r="F28" s="186"/>
      <c r="G28" s="186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x14ac:dyDescent="0.2">
      <c r="A29" s="186" t="s">
        <v>345</v>
      </c>
      <c r="B29" s="195">
        <f>(D20*G20+D21*G21+D22*G22+D23*G23)/G25</f>
        <v>61.36482266848256</v>
      </c>
      <c r="C29" s="195">
        <f>(E20*G20+E21*G21+E22*G22+E23*G23)/G25</f>
        <v>72.877788764551255</v>
      </c>
      <c r="D29" s="186"/>
      <c r="E29" s="186"/>
      <c r="F29" s="186"/>
      <c r="G29" s="186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x14ac:dyDescent="0.2">
      <c r="A30" s="186" t="s">
        <v>346</v>
      </c>
      <c r="B30" s="195">
        <f>(D21*G21+D22*G22+D23*G23)/G26</f>
        <v>60.934754222170916</v>
      </c>
      <c r="C30" s="195">
        <f>(E21*G21+E22*G22+E23*G23)/G26</f>
        <v>74.91428335653525</v>
      </c>
      <c r="D30" s="193"/>
      <c r="E30" s="193"/>
      <c r="F30" s="186"/>
      <c r="G30" s="186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x14ac:dyDescent="0.2">
      <c r="A31" s="186" t="s">
        <v>347</v>
      </c>
      <c r="B31" s="195">
        <f>(D22*G22+D23*G23)/G27</f>
        <v>61.406260659144152</v>
      </c>
      <c r="C31" s="195">
        <f>(E22*G22+E23*G23)/G27</f>
        <v>80.372461201841929</v>
      </c>
      <c r="D31" s="193"/>
      <c r="E31" s="193"/>
      <c r="F31" s="186"/>
      <c r="G31" s="186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19" x14ac:dyDescent="0.2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1:19" x14ac:dyDescent="0.2">
      <c r="A33" s="183" t="s">
        <v>353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x14ac:dyDescent="0.2">
      <c r="A34" s="183" t="s">
        <v>260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x14ac:dyDescent="0.2">
      <c r="A35" s="183" t="s">
        <v>281</v>
      </c>
      <c r="B35" s="183" t="s">
        <v>282</v>
      </c>
      <c r="C35" s="183"/>
      <c r="D35" s="183"/>
      <c r="E35" s="183"/>
      <c r="F35" s="183" t="s">
        <v>283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ht="22.5" customHeight="1" x14ac:dyDescent="0.2">
      <c r="A36" s="183" t="s">
        <v>352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x14ac:dyDescent="0.2">
      <c r="A37" s="183" t="s">
        <v>284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9" x14ac:dyDescent="0.2">
      <c r="A38" s="183" t="s">
        <v>285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</row>
    <row r="39" spans="1:19" x14ac:dyDescent="0.2">
      <c r="A39" s="183" t="s">
        <v>312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19" x14ac:dyDescent="0.2">
      <c r="A40" s="183" t="s">
        <v>286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1:19" x14ac:dyDescent="0.2">
      <c r="A41" s="183" t="s">
        <v>261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9" x14ac:dyDescent="0.2">
      <c r="A42" s="183" t="s">
        <v>313</v>
      </c>
      <c r="B42" s="183" t="s">
        <v>287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9" x14ac:dyDescent="0.2">
      <c r="A43" s="183" t="s">
        <v>262</v>
      </c>
      <c r="B43" s="183"/>
      <c r="C43" s="183"/>
      <c r="D43" s="183"/>
      <c r="E43" s="183"/>
      <c r="F43" s="196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9" ht="21.6" customHeight="1" x14ac:dyDescent="0.2">
      <c r="A44" s="183" t="s">
        <v>354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</row>
    <row r="45" spans="1:19" ht="21" customHeight="1" x14ac:dyDescent="0.2">
      <c r="A45" s="183" t="s">
        <v>314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1:19" ht="24" customHeight="1" x14ac:dyDescent="0.2">
      <c r="A46" s="183" t="s">
        <v>288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</row>
    <row r="47" spans="1:19" x14ac:dyDescent="0.2">
      <c r="A47" s="183" t="s">
        <v>289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1:19" x14ac:dyDescent="0.2">
      <c r="A48" s="183" t="s">
        <v>263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18" x14ac:dyDescent="0.2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18" x14ac:dyDescent="0.2">
      <c r="A50" s="183" t="s">
        <v>290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x14ac:dyDescent="0.2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1:18" x14ac:dyDescent="0.2">
      <c r="A52" s="183" t="s">
        <v>290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zoomScale="120" workbookViewId="0">
      <selection activeCell="F18" sqref="F18"/>
    </sheetView>
  </sheetViews>
  <sheetFormatPr baseColWidth="10" defaultColWidth="11.5703125" defaultRowHeight="12.75" x14ac:dyDescent="0.2"/>
  <cols>
    <col min="1" max="1" width="2.28515625" style="77" customWidth="1"/>
    <col min="2" max="2" width="25.42578125" style="77" customWidth="1"/>
    <col min="3" max="3" width="6" style="78" customWidth="1"/>
    <col min="4" max="4" width="7.140625" style="79" customWidth="1"/>
    <col min="5" max="6" width="6.42578125" style="77" customWidth="1"/>
    <col min="7" max="7" width="24.85546875" style="77" customWidth="1"/>
    <col min="8" max="11" width="6.42578125" style="77" customWidth="1"/>
    <col min="12" max="12" width="3.5703125" style="77" customWidth="1"/>
    <col min="13" max="13" width="23.5703125" style="77" customWidth="1"/>
    <col min="14" max="14" width="4.7109375" style="77" customWidth="1"/>
    <col min="15" max="15" width="6" style="77" customWidth="1"/>
    <col min="16" max="16" width="6.28515625" style="77" customWidth="1"/>
    <col min="17" max="17" width="2.28515625" style="77" customWidth="1"/>
    <col min="18" max="18" width="7.28515625" style="77" customWidth="1"/>
    <col min="19" max="19" width="8.7109375" style="77" customWidth="1"/>
    <col min="20" max="20" width="3.28515625" style="77" customWidth="1"/>
    <col min="21" max="21" width="8.42578125" style="77" customWidth="1"/>
    <col min="22" max="22" width="7.42578125" style="77" customWidth="1"/>
    <col min="23" max="16384" width="11.5703125" style="77"/>
  </cols>
  <sheetData>
    <row r="1" spans="2:25" ht="6" customHeight="1" thickBot="1" x14ac:dyDescent="0.25">
      <c r="N1" s="20"/>
      <c r="O1" s="20"/>
      <c r="P1" s="20"/>
      <c r="Q1" s="20"/>
      <c r="R1" s="20"/>
    </row>
    <row r="2" spans="2:25" ht="14.25" customHeight="1" x14ac:dyDescent="0.2">
      <c r="B2" s="80" t="s">
        <v>143</v>
      </c>
      <c r="C2" s="81"/>
      <c r="D2" s="82" t="s">
        <v>144</v>
      </c>
      <c r="E2" s="83" t="s">
        <v>43</v>
      </c>
      <c r="F2" s="173"/>
      <c r="G2" s="107" t="s">
        <v>10</v>
      </c>
      <c r="H2" s="108"/>
      <c r="I2" s="109"/>
      <c r="J2" s="110"/>
      <c r="K2" s="173"/>
      <c r="L2" s="20"/>
      <c r="M2" s="80" t="s">
        <v>145</v>
      </c>
      <c r="N2" s="84"/>
      <c r="O2" s="82" t="s">
        <v>144</v>
      </c>
      <c r="P2" s="83" t="s">
        <v>43</v>
      </c>
      <c r="Q2" s="20"/>
      <c r="R2" s="85" t="s">
        <v>146</v>
      </c>
      <c r="S2" s="33"/>
      <c r="U2" s="80" t="s">
        <v>147</v>
      </c>
      <c r="V2" s="19"/>
      <c r="W2" s="19"/>
      <c r="X2" s="19"/>
      <c r="Y2" s="33"/>
    </row>
    <row r="3" spans="2:25" ht="14.25" customHeight="1" x14ac:dyDescent="0.3">
      <c r="B3" s="86" t="s">
        <v>148</v>
      </c>
      <c r="C3" s="87" t="s">
        <v>206</v>
      </c>
      <c r="D3" s="190">
        <v>70</v>
      </c>
      <c r="E3" s="88" t="s">
        <v>14</v>
      </c>
      <c r="F3" s="89"/>
      <c r="G3" s="86" t="s">
        <v>191</v>
      </c>
      <c r="H3" s="87" t="s">
        <v>219</v>
      </c>
      <c r="I3" s="111">
        <f>+I8/D6*1000</f>
        <v>77.498999999999995</v>
      </c>
      <c r="J3" s="88" t="s">
        <v>12</v>
      </c>
      <c r="K3" s="89"/>
      <c r="L3" s="20"/>
      <c r="M3" s="86" t="s">
        <v>149</v>
      </c>
      <c r="N3" s="87" t="s">
        <v>207</v>
      </c>
      <c r="O3" s="89">
        <f>+D4+D3</f>
        <v>79</v>
      </c>
      <c r="P3" s="88" t="s">
        <v>14</v>
      </c>
      <c r="Q3" s="20"/>
      <c r="R3" s="86" t="s">
        <v>208</v>
      </c>
      <c r="S3" s="21"/>
      <c r="U3" s="90" t="s">
        <v>150</v>
      </c>
      <c r="V3" s="20"/>
      <c r="W3" s="20"/>
      <c r="X3" s="20"/>
      <c r="Y3" s="21"/>
    </row>
    <row r="4" spans="2:25" ht="14.25" customHeight="1" x14ac:dyDescent="0.3">
      <c r="B4" s="86" t="s">
        <v>151</v>
      </c>
      <c r="C4" s="87" t="s">
        <v>209</v>
      </c>
      <c r="D4" s="190">
        <v>9</v>
      </c>
      <c r="E4" s="88" t="s">
        <v>14</v>
      </c>
      <c r="F4" s="89"/>
      <c r="G4" s="86" t="s">
        <v>192</v>
      </c>
      <c r="H4" s="87" t="s">
        <v>221</v>
      </c>
      <c r="I4" s="111">
        <f>+D11*D12*O6^2/2</f>
        <v>1.7500000000000002</v>
      </c>
      <c r="J4" s="88" t="s">
        <v>12</v>
      </c>
      <c r="K4" s="89"/>
      <c r="L4" s="20"/>
      <c r="M4" s="86" t="s">
        <v>152</v>
      </c>
      <c r="N4" s="20" t="s">
        <v>210</v>
      </c>
      <c r="O4" s="91">
        <f>+D6/O7</f>
        <v>3.3333333333333335</v>
      </c>
      <c r="P4" s="88" t="s">
        <v>6</v>
      </c>
      <c r="R4" s="86" t="s">
        <v>211</v>
      </c>
      <c r="S4" s="21"/>
      <c r="U4" s="86" t="s">
        <v>153</v>
      </c>
      <c r="V4" s="20"/>
      <c r="W4" s="20"/>
      <c r="X4" s="92">
        <v>101325</v>
      </c>
      <c r="Y4" s="21" t="s">
        <v>69</v>
      </c>
    </row>
    <row r="5" spans="2:25" ht="14.25" customHeight="1" x14ac:dyDescent="0.3">
      <c r="B5" s="86" t="s">
        <v>154</v>
      </c>
      <c r="C5" s="87" t="s">
        <v>155</v>
      </c>
      <c r="D5" s="190">
        <v>600</v>
      </c>
      <c r="E5" s="88" t="s">
        <v>3</v>
      </c>
      <c r="F5" s="89"/>
      <c r="G5" s="86" t="s">
        <v>193</v>
      </c>
      <c r="H5" s="87" t="s">
        <v>223</v>
      </c>
      <c r="I5" s="111">
        <f>+(O13*D7)</f>
        <v>3.8555265694162975</v>
      </c>
      <c r="J5" s="88" t="s">
        <v>12</v>
      </c>
      <c r="K5" s="89"/>
      <c r="L5" s="20"/>
      <c r="M5" s="93" t="s">
        <v>156</v>
      </c>
      <c r="N5" s="20" t="s">
        <v>212</v>
      </c>
      <c r="O5" s="20">
        <f>+D10</f>
        <v>0</v>
      </c>
      <c r="P5" s="88" t="s">
        <v>6</v>
      </c>
      <c r="R5" s="93"/>
      <c r="S5" s="21"/>
      <c r="U5" s="86" t="s">
        <v>157</v>
      </c>
      <c r="V5" s="20"/>
      <c r="W5" s="20"/>
      <c r="X5" s="94">
        <v>287.05</v>
      </c>
      <c r="Y5" s="21" t="s">
        <v>158</v>
      </c>
    </row>
    <row r="6" spans="2:25" ht="14.25" customHeight="1" thickBot="1" x14ac:dyDescent="0.35">
      <c r="B6" s="86" t="s">
        <v>159</v>
      </c>
      <c r="C6" s="87" t="s">
        <v>1</v>
      </c>
      <c r="D6" s="190">
        <v>6000</v>
      </c>
      <c r="E6" s="88" t="s">
        <v>3</v>
      </c>
      <c r="F6" s="89"/>
      <c r="G6" s="102" t="s">
        <v>194</v>
      </c>
      <c r="H6" s="113" t="s">
        <v>215</v>
      </c>
      <c r="I6" s="114">
        <f>+I3+I4+I5</f>
        <v>83.104526569416294</v>
      </c>
      <c r="J6" s="105" t="s">
        <v>12</v>
      </c>
      <c r="K6" s="89"/>
      <c r="L6" s="20"/>
      <c r="M6" s="93" t="s">
        <v>160</v>
      </c>
      <c r="N6" s="20" t="s">
        <v>213</v>
      </c>
      <c r="O6" s="95">
        <f>+O4+O5</f>
        <v>3.3333333333333335</v>
      </c>
      <c r="P6" s="88" t="s">
        <v>6</v>
      </c>
      <c r="R6" s="86" t="s">
        <v>214</v>
      </c>
      <c r="S6" s="21"/>
      <c r="U6" s="86" t="s">
        <v>161</v>
      </c>
      <c r="V6" s="20"/>
      <c r="W6" s="20" t="s">
        <v>162</v>
      </c>
      <c r="X6" s="94">
        <v>25</v>
      </c>
      <c r="Y6" s="21" t="s">
        <v>163</v>
      </c>
    </row>
    <row r="7" spans="2:25" ht="14.25" customHeight="1" x14ac:dyDescent="0.2">
      <c r="B7" s="86" t="s">
        <v>164</v>
      </c>
      <c r="C7" s="87" t="s">
        <v>165</v>
      </c>
      <c r="D7" s="190">
        <v>5.0000000000000001E-3</v>
      </c>
      <c r="E7" s="88"/>
      <c r="F7" s="89"/>
      <c r="G7" s="107" t="s">
        <v>21</v>
      </c>
      <c r="H7" s="108"/>
      <c r="I7" s="109"/>
      <c r="J7" s="110"/>
      <c r="K7" s="89"/>
      <c r="L7" s="20"/>
      <c r="M7" s="93" t="s">
        <v>0</v>
      </c>
      <c r="N7" s="20" t="s">
        <v>2</v>
      </c>
      <c r="O7" s="89">
        <f>+D8*60+D9</f>
        <v>1800</v>
      </c>
      <c r="P7" s="88" t="s">
        <v>1</v>
      </c>
      <c r="R7" s="93"/>
      <c r="S7" s="21"/>
      <c r="U7" s="86" t="s">
        <v>166</v>
      </c>
      <c r="V7" s="20"/>
      <c r="W7" s="20"/>
      <c r="X7" s="20">
        <f>+X6+273.15</f>
        <v>298.14999999999998</v>
      </c>
      <c r="Y7" s="21" t="s">
        <v>167</v>
      </c>
    </row>
    <row r="8" spans="2:25" ht="14.25" customHeight="1" thickBot="1" x14ac:dyDescent="0.35">
      <c r="B8" s="86" t="s">
        <v>168</v>
      </c>
      <c r="C8" s="96" t="s">
        <v>2</v>
      </c>
      <c r="D8" s="190">
        <v>30</v>
      </c>
      <c r="E8" s="21" t="s">
        <v>169</v>
      </c>
      <c r="F8" s="20"/>
      <c r="G8" s="86" t="s">
        <v>195</v>
      </c>
      <c r="H8" s="87" t="s">
        <v>226</v>
      </c>
      <c r="I8" s="115">
        <f>+O3*D13*D5/1000</f>
        <v>464.99400000000003</v>
      </c>
      <c r="J8" s="88" t="s">
        <v>196</v>
      </c>
      <c r="K8" s="20"/>
      <c r="L8" s="20"/>
      <c r="M8" s="93"/>
      <c r="N8" s="20"/>
      <c r="O8" s="20"/>
      <c r="P8" s="21"/>
      <c r="R8" s="93"/>
      <c r="S8" s="21"/>
      <c r="U8" s="97" t="s">
        <v>170</v>
      </c>
      <c r="V8" s="22"/>
      <c r="W8" s="22"/>
      <c r="X8" s="22">
        <f>+X4/(X5*X7)</f>
        <v>1.1839251532625141</v>
      </c>
      <c r="Y8" s="34" t="s">
        <v>171</v>
      </c>
    </row>
    <row r="9" spans="2:25" ht="14.25" customHeight="1" x14ac:dyDescent="0.3">
      <c r="B9" s="86" t="s">
        <v>172</v>
      </c>
      <c r="C9" s="96" t="s">
        <v>2</v>
      </c>
      <c r="D9" s="190"/>
      <c r="E9" s="21" t="s">
        <v>1</v>
      </c>
      <c r="F9" s="20"/>
      <c r="G9" s="86" t="s">
        <v>197</v>
      </c>
      <c r="H9" s="87" t="s">
        <v>228</v>
      </c>
      <c r="I9" s="115">
        <f>+I4*D6/1000</f>
        <v>10.500000000000002</v>
      </c>
      <c r="J9" s="88" t="s">
        <v>196</v>
      </c>
      <c r="K9" s="20"/>
      <c r="L9" s="20"/>
      <c r="M9" s="86" t="s">
        <v>152</v>
      </c>
      <c r="N9" s="89"/>
      <c r="O9" s="124">
        <f>+O4*3.6</f>
        <v>12</v>
      </c>
      <c r="P9" s="88" t="s">
        <v>173</v>
      </c>
      <c r="Q9" s="20"/>
      <c r="R9" s="93"/>
      <c r="S9" s="21"/>
      <c r="U9" s="89" t="s">
        <v>174</v>
      </c>
    </row>
    <row r="10" spans="2:25" ht="14.25" customHeight="1" x14ac:dyDescent="0.3">
      <c r="B10" s="86" t="s">
        <v>156</v>
      </c>
      <c r="C10" s="20" t="s">
        <v>212</v>
      </c>
      <c r="D10" s="190">
        <v>0</v>
      </c>
      <c r="E10" s="88" t="s">
        <v>6</v>
      </c>
      <c r="F10" s="89"/>
      <c r="G10" s="86" t="s">
        <v>198</v>
      </c>
      <c r="H10" s="87" t="s">
        <v>230</v>
      </c>
      <c r="I10" s="115">
        <f>+I5*D6/1000</f>
        <v>23.133159416497783</v>
      </c>
      <c r="J10" s="88" t="s">
        <v>196</v>
      </c>
      <c r="K10" s="89"/>
      <c r="L10" s="20"/>
      <c r="M10" s="86" t="s">
        <v>175</v>
      </c>
      <c r="N10" s="89"/>
      <c r="O10" s="125">
        <f>D5/O7*3600</f>
        <v>1200</v>
      </c>
      <c r="P10" s="88" t="s">
        <v>176</v>
      </c>
      <c r="R10" s="93"/>
      <c r="S10" s="21"/>
      <c r="U10" s="99" t="s">
        <v>177</v>
      </c>
    </row>
    <row r="11" spans="2:25" ht="14.25" customHeight="1" thickBot="1" x14ac:dyDescent="0.35">
      <c r="B11" s="86" t="s">
        <v>178</v>
      </c>
      <c r="C11" s="87" t="s">
        <v>179</v>
      </c>
      <c r="D11" s="191">
        <v>0.3</v>
      </c>
      <c r="E11" s="88" t="s">
        <v>180</v>
      </c>
      <c r="F11" s="89"/>
      <c r="G11" s="102" t="s">
        <v>199</v>
      </c>
      <c r="H11" s="113" t="s">
        <v>232</v>
      </c>
      <c r="I11" s="114">
        <f>+I8+I9+I10</f>
        <v>498.62715941649782</v>
      </c>
      <c r="J11" s="105" t="s">
        <v>196</v>
      </c>
      <c r="K11" s="89"/>
      <c r="L11" s="20"/>
      <c r="M11" s="90" t="s">
        <v>181</v>
      </c>
      <c r="N11" s="89" t="s">
        <v>215</v>
      </c>
      <c r="O11" s="98">
        <f>+O3*D13</f>
        <v>774.99</v>
      </c>
      <c r="P11" s="88" t="s">
        <v>12</v>
      </c>
      <c r="R11" s="86" t="s">
        <v>216</v>
      </c>
      <c r="S11" s="21"/>
    </row>
    <row r="12" spans="2:25" ht="14.25" customHeight="1" x14ac:dyDescent="0.2">
      <c r="B12" s="86" t="s">
        <v>182</v>
      </c>
      <c r="C12" s="87" t="s">
        <v>183</v>
      </c>
      <c r="D12" s="190">
        <v>1.05</v>
      </c>
      <c r="E12" s="88" t="s">
        <v>171</v>
      </c>
      <c r="F12" s="89"/>
      <c r="G12" s="107" t="s">
        <v>26</v>
      </c>
      <c r="H12" s="117"/>
      <c r="I12" s="109"/>
      <c r="J12" s="110"/>
      <c r="K12" s="89"/>
      <c r="L12" s="20"/>
      <c r="M12" s="90" t="s">
        <v>184</v>
      </c>
      <c r="N12" s="89" t="s">
        <v>185</v>
      </c>
      <c r="O12" s="100">
        <f>ASIN(D5/D6)</f>
        <v>0.1001674211615598</v>
      </c>
      <c r="P12" s="88" t="s">
        <v>186</v>
      </c>
      <c r="R12" s="86" t="s">
        <v>187</v>
      </c>
      <c r="S12" s="21"/>
    </row>
    <row r="13" spans="2:25" ht="14.25" customHeight="1" thickBot="1" x14ac:dyDescent="0.35">
      <c r="B13" s="101" t="s">
        <v>188</v>
      </c>
      <c r="C13" s="22" t="s">
        <v>189</v>
      </c>
      <c r="D13" s="192">
        <v>9.81</v>
      </c>
      <c r="E13" s="34" t="s">
        <v>9</v>
      </c>
      <c r="F13" s="20"/>
      <c r="G13" s="86" t="s">
        <v>200</v>
      </c>
      <c r="H13" s="87" t="s">
        <v>234</v>
      </c>
      <c r="I13" s="115">
        <f>+I8*1000/O7</f>
        <v>258.33</v>
      </c>
      <c r="J13" s="88" t="s">
        <v>22</v>
      </c>
      <c r="K13" s="20"/>
      <c r="L13" s="20"/>
      <c r="M13" s="102" t="s">
        <v>190</v>
      </c>
      <c r="N13" s="103" t="s">
        <v>217</v>
      </c>
      <c r="O13" s="104">
        <f>+O11*COS(O12)</f>
        <v>771.10531388325944</v>
      </c>
      <c r="P13" s="105" t="s">
        <v>12</v>
      </c>
      <c r="R13" s="102" t="s">
        <v>218</v>
      </c>
      <c r="S13" s="34"/>
    </row>
    <row r="14" spans="2:25" ht="14.25" customHeight="1" x14ac:dyDescent="0.3">
      <c r="B14" s="89"/>
      <c r="C14" s="87"/>
      <c r="D14" s="106"/>
      <c r="E14" s="89"/>
      <c r="F14" s="89"/>
      <c r="G14" s="86" t="s">
        <v>201</v>
      </c>
      <c r="H14" s="87" t="s">
        <v>236</v>
      </c>
      <c r="I14" s="115">
        <f>+I9*1000/O7</f>
        <v>5.8333333333333339</v>
      </c>
      <c r="J14" s="88" t="s">
        <v>22</v>
      </c>
      <c r="K14" s="89"/>
    </row>
    <row r="15" spans="2:25" ht="14.25" customHeight="1" x14ac:dyDescent="0.3">
      <c r="F15" s="89"/>
      <c r="G15" s="86" t="s">
        <v>202</v>
      </c>
      <c r="H15" s="87" t="s">
        <v>238</v>
      </c>
      <c r="I15" s="115">
        <f>+I10*1000/O7</f>
        <v>12.851755231387658</v>
      </c>
      <c r="J15" s="88" t="s">
        <v>22</v>
      </c>
      <c r="K15" s="89"/>
      <c r="M15" s="89" t="s">
        <v>146</v>
      </c>
      <c r="N15" s="89"/>
      <c r="O15" s="20"/>
      <c r="P15" s="20"/>
      <c r="Q15" s="20"/>
      <c r="R15" s="20"/>
      <c r="S15" s="20"/>
      <c r="T15" s="20"/>
      <c r="U15" s="20"/>
    </row>
    <row r="16" spans="2:25" ht="14.25" customHeight="1" x14ac:dyDescent="0.3">
      <c r="F16" s="89"/>
      <c r="G16" s="86" t="s">
        <v>203</v>
      </c>
      <c r="H16" s="87" t="s">
        <v>240</v>
      </c>
      <c r="I16" s="118">
        <f>SUM(I13:I15)</f>
        <v>277.01508856472094</v>
      </c>
      <c r="J16" s="88" t="s">
        <v>22</v>
      </c>
      <c r="K16" s="89"/>
      <c r="M16" s="175" t="s">
        <v>220</v>
      </c>
      <c r="N16" s="175"/>
      <c r="O16" s="175" t="s">
        <v>227</v>
      </c>
      <c r="P16" s="176"/>
      <c r="Q16" s="176"/>
      <c r="R16" s="176"/>
      <c r="S16" s="176"/>
      <c r="T16" s="175" t="s">
        <v>235</v>
      </c>
      <c r="U16" s="176"/>
      <c r="V16" s="20"/>
    </row>
    <row r="17" spans="2:22" ht="14.25" customHeight="1" thickBot="1" x14ac:dyDescent="0.35">
      <c r="F17" s="89"/>
      <c r="G17" s="102" t="s">
        <v>204</v>
      </c>
      <c r="H17" s="113" t="s">
        <v>240</v>
      </c>
      <c r="I17" s="119">
        <f>+I16/D3</f>
        <v>3.9573584080674422</v>
      </c>
      <c r="J17" s="105" t="s">
        <v>205</v>
      </c>
      <c r="K17" s="89"/>
      <c r="M17" s="89" t="s">
        <v>222</v>
      </c>
      <c r="N17" s="89"/>
      <c r="O17" s="89" t="s">
        <v>229</v>
      </c>
      <c r="P17" s="174"/>
      <c r="Q17" s="20"/>
      <c r="R17" s="20"/>
      <c r="T17" s="89" t="s">
        <v>237</v>
      </c>
      <c r="U17" s="20"/>
      <c r="V17" s="20"/>
    </row>
    <row r="18" spans="2:22" ht="14.25" customHeight="1" x14ac:dyDescent="0.3">
      <c r="F18" s="89"/>
      <c r="K18" s="89"/>
      <c r="M18" s="89" t="s">
        <v>224</v>
      </c>
      <c r="N18" s="89"/>
      <c r="O18" s="89" t="s">
        <v>231</v>
      </c>
      <c r="P18" s="174"/>
      <c r="Q18" s="20"/>
      <c r="R18" s="20"/>
      <c r="T18" s="89" t="s">
        <v>239</v>
      </c>
      <c r="U18" s="20"/>
      <c r="V18" s="20"/>
    </row>
    <row r="19" spans="2:22" ht="14.25" customHeight="1" x14ac:dyDescent="0.3">
      <c r="F19" s="89"/>
      <c r="G19" s="89"/>
      <c r="H19" s="89"/>
      <c r="I19" s="89"/>
      <c r="J19" s="89"/>
      <c r="K19" s="89"/>
      <c r="M19" s="89" t="s">
        <v>225</v>
      </c>
      <c r="N19" s="89"/>
      <c r="O19" s="89" t="s">
        <v>233</v>
      </c>
      <c r="P19" s="174"/>
      <c r="Q19" s="20"/>
      <c r="R19" s="20"/>
      <c r="S19" s="20"/>
      <c r="T19" s="89" t="s">
        <v>241</v>
      </c>
      <c r="U19" s="20"/>
      <c r="V19" s="20"/>
    </row>
    <row r="20" spans="2:22" ht="14.25" customHeight="1" x14ac:dyDescent="0.3">
      <c r="B20" s="77" t="s">
        <v>253</v>
      </c>
      <c r="J20" s="89"/>
      <c r="K20" s="89"/>
      <c r="M20" s="177"/>
      <c r="N20" s="177"/>
      <c r="O20" s="168"/>
      <c r="P20" s="168"/>
      <c r="Q20" s="168"/>
      <c r="R20" s="168"/>
      <c r="S20" s="168"/>
      <c r="T20" s="177" t="s">
        <v>242</v>
      </c>
      <c r="U20" s="168"/>
      <c r="V20" s="20"/>
    </row>
    <row r="21" spans="2:22" ht="14.25" customHeight="1" x14ac:dyDescent="0.2">
      <c r="B21" s="77" t="s">
        <v>255</v>
      </c>
      <c r="J21" s="89"/>
      <c r="K21" s="89"/>
      <c r="M21" s="89"/>
      <c r="N21" s="89"/>
      <c r="O21" s="20"/>
      <c r="P21" s="174"/>
      <c r="Q21" s="20"/>
      <c r="R21" s="20"/>
      <c r="S21" s="20"/>
      <c r="T21" s="20"/>
      <c r="U21" s="20"/>
    </row>
    <row r="22" spans="2:22" ht="14.25" customHeight="1" x14ac:dyDescent="0.2">
      <c r="B22" s="77" t="s">
        <v>271</v>
      </c>
      <c r="C22" s="77"/>
      <c r="D22" s="77" t="s">
        <v>279</v>
      </c>
      <c r="J22" s="89"/>
      <c r="K22" s="89"/>
      <c r="N22" s="89"/>
    </row>
    <row r="23" spans="2:22" ht="14.25" customHeight="1" x14ac:dyDescent="0.2">
      <c r="B23" s="78" t="s">
        <v>280</v>
      </c>
      <c r="D23" s="77" t="s">
        <v>279</v>
      </c>
      <c r="J23" s="89"/>
      <c r="K23" s="89"/>
      <c r="N23" s="89"/>
    </row>
    <row r="24" spans="2:22" ht="14.25" customHeight="1" x14ac:dyDescent="0.2">
      <c r="B24" s="78"/>
      <c r="D24" s="77"/>
      <c r="J24" s="89"/>
      <c r="K24" s="89"/>
      <c r="N24" s="89"/>
      <c r="P24" s="112"/>
    </row>
    <row r="25" spans="2:22" ht="14.25" customHeight="1" x14ac:dyDescent="0.2">
      <c r="B25" s="77" t="s">
        <v>256</v>
      </c>
      <c r="J25" s="89"/>
      <c r="K25" s="89"/>
      <c r="N25" s="89"/>
    </row>
    <row r="26" spans="2:22" ht="14.25" customHeight="1" x14ac:dyDescent="0.2">
      <c r="B26" s="77" t="s">
        <v>264</v>
      </c>
      <c r="J26" s="116"/>
      <c r="K26" s="116"/>
      <c r="M26" s="89"/>
      <c r="N26" s="89"/>
    </row>
    <row r="27" spans="2:22" ht="14.25" customHeight="1" x14ac:dyDescent="0.2">
      <c r="B27" s="77" t="s">
        <v>257</v>
      </c>
      <c r="J27" s="89"/>
      <c r="K27" s="89"/>
      <c r="M27" s="89"/>
      <c r="N27" s="89"/>
    </row>
    <row r="28" spans="2:22" ht="14.25" customHeight="1" x14ac:dyDescent="0.2">
      <c r="B28" s="77" t="s">
        <v>258</v>
      </c>
      <c r="J28" s="89"/>
      <c r="K28" s="89"/>
      <c r="N28" s="89"/>
    </row>
    <row r="29" spans="2:22" ht="14.25" customHeight="1" x14ac:dyDescent="0.2">
      <c r="B29" s="77" t="s">
        <v>272</v>
      </c>
      <c r="E29" s="77" t="s">
        <v>273</v>
      </c>
      <c r="J29" s="89"/>
      <c r="K29" s="89"/>
      <c r="N29" s="89"/>
    </row>
    <row r="30" spans="2:22" ht="14.25" customHeight="1" x14ac:dyDescent="0.2">
      <c r="B30" s="77" t="s">
        <v>274</v>
      </c>
      <c r="E30" s="77" t="s">
        <v>275</v>
      </c>
      <c r="J30" s="89"/>
      <c r="K30" s="89"/>
      <c r="N30" s="89"/>
    </row>
    <row r="31" spans="2:22" ht="14.25" customHeight="1" x14ac:dyDescent="0.2">
      <c r="J31" s="89"/>
      <c r="K31" s="89"/>
      <c r="N31" s="89"/>
    </row>
    <row r="32" spans="2:22" x14ac:dyDescent="0.2">
      <c r="B32" s="77" t="s">
        <v>265</v>
      </c>
      <c r="J32" s="89"/>
      <c r="K32" s="89"/>
      <c r="N32" s="89"/>
    </row>
    <row r="33" spans="1:23" x14ac:dyDescent="0.2">
      <c r="B33" s="77" t="s">
        <v>276</v>
      </c>
      <c r="C33" s="78" t="s">
        <v>278</v>
      </c>
      <c r="J33" s="89"/>
      <c r="K33" s="89"/>
      <c r="M33" s="89"/>
      <c r="N33" s="89"/>
    </row>
    <row r="34" spans="1:23" x14ac:dyDescent="0.2">
      <c r="B34" s="77" t="s">
        <v>277</v>
      </c>
      <c r="C34" s="78" t="s">
        <v>278</v>
      </c>
      <c r="P34" s="20"/>
      <c r="Q34" s="20"/>
      <c r="R34" s="20"/>
      <c r="S34" s="20"/>
      <c r="T34" s="20"/>
      <c r="U34" s="20"/>
      <c r="V34" s="20"/>
      <c r="W34" s="20"/>
    </row>
    <row r="35" spans="1:23" x14ac:dyDescent="0.2">
      <c r="P35" s="20"/>
      <c r="Q35" s="120"/>
      <c r="R35" s="120"/>
      <c r="S35" s="120"/>
      <c r="T35" s="120"/>
      <c r="U35" s="120"/>
      <c r="V35" s="120"/>
      <c r="W35" s="20"/>
    </row>
    <row r="36" spans="1:23" x14ac:dyDescent="0.2">
      <c r="P36" s="20"/>
      <c r="Q36" s="20"/>
      <c r="R36" s="20"/>
      <c r="S36" s="20"/>
      <c r="T36" s="20"/>
      <c r="U36" s="100"/>
      <c r="V36" s="20"/>
      <c r="W36" s="20"/>
    </row>
    <row r="37" spans="1:23" x14ac:dyDescent="0.2">
      <c r="A37" s="77" t="s">
        <v>252</v>
      </c>
      <c r="P37" s="20"/>
      <c r="Q37" s="20"/>
      <c r="R37" s="20"/>
      <c r="S37" s="20"/>
      <c r="T37" s="20"/>
      <c r="U37" s="100"/>
      <c r="V37" s="20"/>
      <c r="W37" s="20"/>
    </row>
    <row r="39" spans="1:23" x14ac:dyDescent="0.2">
      <c r="U39" s="121"/>
    </row>
    <row r="40" spans="1:23" x14ac:dyDescent="0.2">
      <c r="U40" s="121"/>
    </row>
    <row r="41" spans="1:23" x14ac:dyDescent="0.2">
      <c r="U41" s="121"/>
    </row>
    <row r="42" spans="1:23" x14ac:dyDescent="0.2">
      <c r="A42" s="77" t="s">
        <v>254</v>
      </c>
      <c r="U42" s="121"/>
    </row>
    <row r="44" spans="1:23" x14ac:dyDescent="0.2">
      <c r="P44" s="48"/>
      <c r="U44" s="121"/>
    </row>
    <row r="46" spans="1:23" x14ac:dyDescent="0.2">
      <c r="P46" s="77" t="s">
        <v>279</v>
      </c>
    </row>
    <row r="47" spans="1:23" x14ac:dyDescent="0.2">
      <c r="P47" s="77" t="s">
        <v>279</v>
      </c>
    </row>
    <row r="49" spans="1:9" x14ac:dyDescent="0.2">
      <c r="A49" s="77" t="s">
        <v>259</v>
      </c>
      <c r="E49" s="122"/>
      <c r="F49" s="122"/>
      <c r="G49" s="122"/>
      <c r="H49" s="122"/>
      <c r="I49" s="122"/>
    </row>
    <row r="50" spans="1:9" x14ac:dyDescent="0.2">
      <c r="C50" s="123"/>
      <c r="E50" s="122"/>
      <c r="F50" s="122"/>
      <c r="G50" s="122"/>
      <c r="H50" s="122"/>
      <c r="I50" s="122"/>
    </row>
    <row r="51" spans="1:9" x14ac:dyDescent="0.2">
      <c r="C51" s="123"/>
    </row>
    <row r="62" spans="1:9" x14ac:dyDescent="0.2">
      <c r="B62" s="48"/>
    </row>
    <row r="66" spans="10:11" x14ac:dyDescent="0.2">
      <c r="J66" s="122"/>
      <c r="K66" s="122"/>
    </row>
    <row r="67" spans="10:11" x14ac:dyDescent="0.2">
      <c r="J67" s="122"/>
      <c r="K67" s="12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18" sqref="F18"/>
    </sheetView>
  </sheetViews>
  <sheetFormatPr baseColWidth="10" defaultRowHeight="12.75" x14ac:dyDescent="0.2"/>
  <cols>
    <col min="1" max="1" width="25.28515625" customWidth="1"/>
    <col min="4" max="4" width="14.140625" customWidth="1"/>
    <col min="5" max="5" width="13.140625" customWidth="1"/>
    <col min="6" max="6" width="15.28515625" customWidth="1"/>
    <col min="7" max="7" width="14.140625" customWidth="1"/>
    <col min="8" max="8" width="16.140625" customWidth="1"/>
    <col min="9" max="9" width="16.5703125" customWidth="1"/>
    <col min="10" max="10" width="13.5703125" customWidth="1"/>
    <col min="11" max="11" width="11.42578125" style="24"/>
  </cols>
  <sheetData>
    <row r="1" spans="1:11" ht="30.75" thickBot="1" x14ac:dyDescent="0.25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3" t="s">
        <v>46</v>
      </c>
      <c r="H1" s="2" t="s">
        <v>48</v>
      </c>
      <c r="I1" s="3" t="s">
        <v>49</v>
      </c>
      <c r="J1" s="2"/>
      <c r="K1" s="2" t="s">
        <v>83</v>
      </c>
    </row>
    <row r="2" spans="1:11" ht="18" x14ac:dyDescent="0.25">
      <c r="A2" s="4" t="s">
        <v>13</v>
      </c>
      <c r="B2" s="5" t="s">
        <v>3</v>
      </c>
      <c r="C2" s="5" t="s">
        <v>14</v>
      </c>
      <c r="D2" s="6"/>
      <c r="E2" s="6"/>
      <c r="F2" s="6"/>
      <c r="G2" s="7"/>
      <c r="H2" s="6"/>
      <c r="I2" s="7"/>
      <c r="J2" s="6"/>
      <c r="K2" s="31" t="s">
        <v>75</v>
      </c>
    </row>
    <row r="3" spans="1:11" ht="18" x14ac:dyDescent="0.25">
      <c r="A3" s="8" t="s">
        <v>0</v>
      </c>
      <c r="B3" s="9" t="s">
        <v>2</v>
      </c>
      <c r="C3" s="9" t="s">
        <v>1</v>
      </c>
      <c r="D3" s="10" t="s">
        <v>30</v>
      </c>
      <c r="E3" s="11"/>
      <c r="F3" s="11"/>
      <c r="G3" s="12"/>
      <c r="H3" s="11"/>
      <c r="I3" s="12"/>
      <c r="J3" s="11"/>
      <c r="K3" s="16" t="s">
        <v>75</v>
      </c>
    </row>
    <row r="4" spans="1:11" ht="21" x14ac:dyDescent="0.35">
      <c r="A4" s="8" t="s">
        <v>84</v>
      </c>
      <c r="B4" s="9" t="s">
        <v>1</v>
      </c>
      <c r="C4" s="9" t="s">
        <v>3</v>
      </c>
      <c r="D4" s="11"/>
      <c r="E4" s="11"/>
      <c r="F4" s="13"/>
      <c r="G4" s="14" t="s">
        <v>62</v>
      </c>
      <c r="H4" s="11"/>
      <c r="I4" s="15" t="s">
        <v>47</v>
      </c>
      <c r="J4" s="11"/>
      <c r="K4" s="16" t="s">
        <v>75</v>
      </c>
    </row>
    <row r="5" spans="1:11" ht="21" x14ac:dyDescent="0.35">
      <c r="A5" s="8" t="s">
        <v>4</v>
      </c>
      <c r="B5" s="9" t="s">
        <v>5</v>
      </c>
      <c r="C5" s="9" t="s">
        <v>6</v>
      </c>
      <c r="D5" s="11"/>
      <c r="E5" s="11"/>
      <c r="F5" s="9" t="s">
        <v>52</v>
      </c>
      <c r="G5" s="14" t="s">
        <v>55</v>
      </c>
      <c r="H5" s="10" t="s">
        <v>51</v>
      </c>
      <c r="I5" s="15" t="s">
        <v>56</v>
      </c>
      <c r="J5" s="11"/>
      <c r="K5" s="16" t="s">
        <v>76</v>
      </c>
    </row>
    <row r="6" spans="1:11" ht="18" x14ac:dyDescent="0.25">
      <c r="A6" s="8" t="s">
        <v>7</v>
      </c>
      <c r="B6" s="9" t="s">
        <v>8</v>
      </c>
      <c r="C6" s="9" t="s">
        <v>9</v>
      </c>
      <c r="D6" s="11"/>
      <c r="E6" s="11"/>
      <c r="F6" s="9" t="s">
        <v>53</v>
      </c>
      <c r="G6" s="14" t="s">
        <v>17</v>
      </c>
      <c r="H6" s="10" t="s">
        <v>50</v>
      </c>
      <c r="I6" s="12"/>
      <c r="J6" s="11"/>
      <c r="K6" s="16" t="s">
        <v>76</v>
      </c>
    </row>
    <row r="7" spans="1:11" ht="18" x14ac:dyDescent="0.25">
      <c r="A7" s="8" t="s">
        <v>10</v>
      </c>
      <c r="B7" s="9" t="s">
        <v>11</v>
      </c>
      <c r="C7" s="9" t="s">
        <v>12</v>
      </c>
      <c r="D7" s="10" t="s">
        <v>31</v>
      </c>
      <c r="E7" s="10" t="s">
        <v>15</v>
      </c>
      <c r="F7" s="9" t="s">
        <v>16</v>
      </c>
      <c r="G7" s="14" t="s">
        <v>57</v>
      </c>
      <c r="H7" s="10" t="s">
        <v>58</v>
      </c>
      <c r="I7" s="15" t="s">
        <v>59</v>
      </c>
      <c r="J7" s="10" t="s">
        <v>63</v>
      </c>
      <c r="K7" s="16" t="s">
        <v>76</v>
      </c>
    </row>
    <row r="8" spans="1:11" ht="18" x14ac:dyDescent="0.25">
      <c r="A8" s="8" t="s">
        <v>54</v>
      </c>
      <c r="B8" s="9" t="s">
        <v>85</v>
      </c>
      <c r="C8" s="9" t="s">
        <v>18</v>
      </c>
      <c r="D8" s="11"/>
      <c r="E8" s="10" t="s">
        <v>19</v>
      </c>
      <c r="F8" s="9" t="s">
        <v>20</v>
      </c>
      <c r="G8" s="17" t="s">
        <v>61</v>
      </c>
      <c r="H8" s="10" t="s">
        <v>60</v>
      </c>
      <c r="I8" s="12"/>
      <c r="J8" s="11"/>
      <c r="K8" s="16" t="s">
        <v>76</v>
      </c>
    </row>
    <row r="9" spans="1:11" ht="18" x14ac:dyDescent="0.25">
      <c r="A9" s="8" t="s">
        <v>21</v>
      </c>
      <c r="B9" s="9" t="s">
        <v>22</v>
      </c>
      <c r="C9" s="9" t="s">
        <v>29</v>
      </c>
      <c r="D9" s="10" t="s">
        <v>32</v>
      </c>
      <c r="E9" s="10" t="s">
        <v>24</v>
      </c>
      <c r="F9" s="9" t="s">
        <v>25</v>
      </c>
      <c r="G9" s="14" t="s">
        <v>36</v>
      </c>
      <c r="H9" s="11"/>
      <c r="I9" s="12"/>
      <c r="J9" s="11"/>
      <c r="K9" s="16" t="s">
        <v>75</v>
      </c>
    </row>
    <row r="10" spans="1:11" ht="18" x14ac:dyDescent="0.25">
      <c r="A10" s="8" t="s">
        <v>77</v>
      </c>
      <c r="B10" s="13"/>
      <c r="C10" s="13"/>
      <c r="D10" s="11"/>
      <c r="E10" s="11"/>
      <c r="F10" s="9" t="s">
        <v>64</v>
      </c>
      <c r="G10" s="18"/>
      <c r="H10" s="11"/>
      <c r="I10" s="12"/>
      <c r="J10" s="11"/>
      <c r="K10" s="16" t="s">
        <v>75</v>
      </c>
    </row>
    <row r="11" spans="1:11" ht="18" x14ac:dyDescent="0.25">
      <c r="A11" s="8" t="s">
        <v>78</v>
      </c>
      <c r="B11" s="13"/>
      <c r="C11" s="13"/>
      <c r="D11" s="11"/>
      <c r="E11" s="11"/>
      <c r="F11" s="9" t="s">
        <v>65</v>
      </c>
      <c r="G11" s="18"/>
      <c r="H11" s="11"/>
      <c r="I11" s="12"/>
      <c r="J11" s="11"/>
      <c r="K11" s="16" t="s">
        <v>75</v>
      </c>
    </row>
    <row r="12" spans="1:11" ht="18" x14ac:dyDescent="0.25">
      <c r="A12" s="8" t="s">
        <v>26</v>
      </c>
      <c r="B12" s="9" t="s">
        <v>27</v>
      </c>
      <c r="C12" s="9" t="s">
        <v>22</v>
      </c>
      <c r="D12" s="10" t="s">
        <v>33</v>
      </c>
      <c r="E12" s="10" t="s">
        <v>28</v>
      </c>
      <c r="F12" s="9" t="s">
        <v>34</v>
      </c>
      <c r="G12" s="14" t="s">
        <v>35</v>
      </c>
      <c r="H12" s="11"/>
      <c r="I12" s="12"/>
      <c r="J12" s="11"/>
      <c r="K12" s="16" t="s">
        <v>75</v>
      </c>
    </row>
    <row r="13" spans="1:11" ht="18" x14ac:dyDescent="0.25">
      <c r="A13" s="8" t="s">
        <v>37</v>
      </c>
      <c r="B13" s="9" t="s">
        <v>38</v>
      </c>
      <c r="C13" s="9" t="s">
        <v>23</v>
      </c>
      <c r="D13" s="11"/>
      <c r="E13" s="10" t="s">
        <v>24</v>
      </c>
      <c r="F13" s="9" t="s">
        <v>39</v>
      </c>
      <c r="G13" s="18"/>
      <c r="H13" s="11"/>
      <c r="I13" s="12"/>
      <c r="J13" s="11"/>
      <c r="K13" s="16" t="s">
        <v>76</v>
      </c>
    </row>
    <row r="14" spans="1:11" ht="18" x14ac:dyDescent="0.25">
      <c r="A14" s="27" t="s">
        <v>68</v>
      </c>
      <c r="B14" s="25" t="s">
        <v>74</v>
      </c>
      <c r="C14" s="25" t="s">
        <v>69</v>
      </c>
      <c r="D14" s="25" t="s">
        <v>70</v>
      </c>
      <c r="E14" s="25" t="s">
        <v>112</v>
      </c>
      <c r="F14" s="9" t="s">
        <v>81</v>
      </c>
      <c r="G14" s="11" t="s">
        <v>82</v>
      </c>
      <c r="H14" s="26"/>
      <c r="I14" s="26"/>
      <c r="J14" s="26"/>
      <c r="K14" s="16" t="s">
        <v>75</v>
      </c>
    </row>
    <row r="15" spans="1:11" ht="18.75" thickBot="1" x14ac:dyDescent="0.3">
      <c r="A15" s="28" t="s">
        <v>71</v>
      </c>
      <c r="B15" s="29" t="s">
        <v>79</v>
      </c>
      <c r="C15" s="29" t="s">
        <v>72</v>
      </c>
      <c r="D15" s="29" t="s">
        <v>80</v>
      </c>
      <c r="E15" s="29" t="s">
        <v>73</v>
      </c>
      <c r="F15" s="30"/>
      <c r="G15" s="30"/>
      <c r="H15" s="30"/>
      <c r="I15" s="30"/>
      <c r="J15" s="30"/>
      <c r="K15" s="32" t="s">
        <v>75</v>
      </c>
    </row>
    <row r="16" spans="1:11" x14ac:dyDescent="0.2">
      <c r="A16" s="23"/>
      <c r="B16" s="23"/>
      <c r="C16" s="23"/>
      <c r="D16" s="23"/>
      <c r="E16" s="23"/>
    </row>
    <row r="18" spans="1:2" ht="18" x14ac:dyDescent="0.25">
      <c r="A18" s="1" t="s">
        <v>67</v>
      </c>
      <c r="B18" s="9" t="s">
        <v>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="180" workbookViewId="0">
      <selection activeCell="G75" sqref="G75"/>
    </sheetView>
  </sheetViews>
  <sheetFormatPr baseColWidth="10" defaultRowHeight="12.75" x14ac:dyDescent="0.2"/>
  <cols>
    <col min="1" max="1" width="42.7109375" customWidth="1"/>
    <col min="2" max="2" width="5" style="52" customWidth="1"/>
    <col min="3" max="3" width="5.28515625" style="52" customWidth="1"/>
    <col min="4" max="4" width="5.5703125" style="52" customWidth="1"/>
    <col min="5" max="5" width="5.140625" customWidth="1"/>
    <col min="6" max="6" width="3.7109375" customWidth="1"/>
    <col min="7" max="7" width="25.7109375" customWidth="1"/>
  </cols>
  <sheetData>
    <row r="1" spans="1:7" s="130" customFormat="1" ht="20.25" x14ac:dyDescent="0.3">
      <c r="A1" s="128" t="s">
        <v>113</v>
      </c>
      <c r="B1" s="129"/>
      <c r="C1" s="129"/>
      <c r="D1" s="129"/>
    </row>
    <row r="2" spans="1:7" ht="15.75" x14ac:dyDescent="0.3">
      <c r="A2" t="s">
        <v>118</v>
      </c>
      <c r="E2" s="49" t="s">
        <v>97</v>
      </c>
      <c r="F2" s="50">
        <v>2</v>
      </c>
      <c r="G2" s="51" t="s">
        <v>98</v>
      </c>
    </row>
    <row r="3" spans="1:7" ht="15.75" x14ac:dyDescent="0.3">
      <c r="A3" t="s">
        <v>119</v>
      </c>
      <c r="E3" s="49" t="s">
        <v>99</v>
      </c>
      <c r="F3" s="50">
        <v>2</v>
      </c>
      <c r="G3" s="51" t="s">
        <v>100</v>
      </c>
    </row>
    <row r="4" spans="1:7" ht="13.5" thickBot="1" x14ac:dyDescent="0.25">
      <c r="E4" s="52"/>
      <c r="F4" s="53"/>
      <c r="G4" s="52"/>
    </row>
    <row r="5" spans="1:7" x14ac:dyDescent="0.2">
      <c r="D5" s="73" t="s">
        <v>117</v>
      </c>
      <c r="E5" s="54" t="s">
        <v>101</v>
      </c>
      <c r="F5" s="55" t="s">
        <v>102</v>
      </c>
    </row>
    <row r="6" spans="1:7" ht="14.25" x14ac:dyDescent="0.25">
      <c r="D6" s="74">
        <v>1</v>
      </c>
      <c r="E6" s="56">
        <v>0</v>
      </c>
      <c r="F6" s="57">
        <f t="shared" ref="F6:F16" si="0">k*E6+d</f>
        <v>2</v>
      </c>
      <c r="G6" s="126" t="s">
        <v>247</v>
      </c>
    </row>
    <row r="7" spans="1:7" x14ac:dyDescent="0.2">
      <c r="D7" s="74">
        <v>2</v>
      </c>
      <c r="E7" s="56">
        <v>1</v>
      </c>
      <c r="F7" s="57">
        <f t="shared" si="0"/>
        <v>4</v>
      </c>
      <c r="G7" s="52"/>
    </row>
    <row r="8" spans="1:7" x14ac:dyDescent="0.2">
      <c r="D8" s="74">
        <v>3</v>
      </c>
      <c r="E8" s="56">
        <v>2</v>
      </c>
      <c r="F8" s="57">
        <f t="shared" si="0"/>
        <v>6</v>
      </c>
    </row>
    <row r="9" spans="1:7" x14ac:dyDescent="0.2">
      <c r="D9" s="74">
        <v>4</v>
      </c>
      <c r="E9" s="56">
        <v>3</v>
      </c>
      <c r="F9" s="57">
        <f t="shared" si="0"/>
        <v>8</v>
      </c>
      <c r="G9" s="52"/>
    </row>
    <row r="10" spans="1:7" x14ac:dyDescent="0.2">
      <c r="D10" s="74">
        <v>5</v>
      </c>
      <c r="E10" s="56">
        <v>4</v>
      </c>
      <c r="F10" s="57">
        <f t="shared" si="0"/>
        <v>10</v>
      </c>
      <c r="G10" s="52"/>
    </row>
    <row r="11" spans="1:7" x14ac:dyDescent="0.2">
      <c r="D11" s="74">
        <v>6</v>
      </c>
      <c r="E11" s="56">
        <v>5</v>
      </c>
      <c r="F11" s="57">
        <f t="shared" si="0"/>
        <v>12</v>
      </c>
      <c r="G11" s="52"/>
    </row>
    <row r="12" spans="1:7" x14ac:dyDescent="0.2">
      <c r="D12" s="74">
        <v>7</v>
      </c>
      <c r="E12" s="56">
        <v>6</v>
      </c>
      <c r="F12" s="57">
        <f t="shared" si="0"/>
        <v>14</v>
      </c>
      <c r="G12" s="52"/>
    </row>
    <row r="13" spans="1:7" x14ac:dyDescent="0.2">
      <c r="D13" s="74">
        <v>8</v>
      </c>
      <c r="E13" s="56">
        <v>7</v>
      </c>
      <c r="F13" s="57">
        <f t="shared" si="0"/>
        <v>16</v>
      </c>
      <c r="G13" s="52"/>
    </row>
    <row r="14" spans="1:7" x14ac:dyDescent="0.2">
      <c r="D14" s="74">
        <v>9</v>
      </c>
      <c r="E14" s="56">
        <v>8</v>
      </c>
      <c r="F14" s="57">
        <f t="shared" si="0"/>
        <v>18</v>
      </c>
      <c r="G14" s="52"/>
    </row>
    <row r="15" spans="1:7" x14ac:dyDescent="0.2">
      <c r="D15" s="74">
        <v>10</v>
      </c>
      <c r="E15" s="56">
        <v>9</v>
      </c>
      <c r="F15" s="57">
        <f t="shared" si="0"/>
        <v>20</v>
      </c>
      <c r="G15" s="52"/>
    </row>
    <row r="16" spans="1:7" x14ac:dyDescent="0.2">
      <c r="D16" s="74">
        <v>11</v>
      </c>
      <c r="E16" s="56">
        <v>10</v>
      </c>
      <c r="F16" s="57">
        <f t="shared" si="0"/>
        <v>22</v>
      </c>
      <c r="G16" s="52"/>
    </row>
    <row r="18" spans="1:8" ht="18" x14ac:dyDescent="0.25">
      <c r="A18" s="1" t="s">
        <v>114</v>
      </c>
    </row>
    <row r="24" spans="1:8" ht="12" customHeight="1" x14ac:dyDescent="0.2"/>
    <row r="25" spans="1:8" ht="13.5" customHeight="1" x14ac:dyDescent="0.2"/>
    <row r="26" spans="1:8" s="130" customFormat="1" ht="20.25" x14ac:dyDescent="0.3">
      <c r="A26" s="128" t="s">
        <v>251</v>
      </c>
      <c r="B26" s="129"/>
      <c r="C26" s="129"/>
      <c r="D26" s="129"/>
    </row>
    <row r="27" spans="1:8" x14ac:dyDescent="0.2">
      <c r="D27" s="51"/>
      <c r="F27" s="51"/>
      <c r="G27" s="76"/>
    </row>
    <row r="28" spans="1:8" ht="16.5" x14ac:dyDescent="0.3">
      <c r="A28" t="s">
        <v>115</v>
      </c>
      <c r="B28"/>
      <c r="C28"/>
      <c r="D28" s="51"/>
      <c r="F28" s="61"/>
    </row>
    <row r="29" spans="1:8" ht="16.5" x14ac:dyDescent="0.3">
      <c r="A29" t="s">
        <v>116</v>
      </c>
      <c r="B29" s="52" t="s">
        <v>243</v>
      </c>
      <c r="C29" s="56">
        <v>0.1</v>
      </c>
      <c r="D29" s="78" t="s">
        <v>310</v>
      </c>
      <c r="F29" s="61"/>
    </row>
    <row r="30" spans="1:8" ht="13.5" thickBot="1" x14ac:dyDescent="0.25">
      <c r="C30" s="70"/>
      <c r="E30" s="48"/>
    </row>
    <row r="31" spans="1:8" x14ac:dyDescent="0.2">
      <c r="B31" s="73" t="s">
        <v>117</v>
      </c>
      <c r="C31" s="71" t="s">
        <v>0</v>
      </c>
      <c r="D31" s="58" t="s">
        <v>244</v>
      </c>
      <c r="E31" s="59" t="s">
        <v>120</v>
      </c>
      <c r="F31" s="59" t="s">
        <v>121</v>
      </c>
    </row>
    <row r="32" spans="1:8" ht="14.25" x14ac:dyDescent="0.25">
      <c r="B32" s="74">
        <v>1</v>
      </c>
      <c r="C32" s="72">
        <v>0</v>
      </c>
      <c r="D32" s="75">
        <v>-5</v>
      </c>
      <c r="E32" s="60">
        <f t="shared" ref="E32:E50" si="1">(D33-D32)/dt</f>
        <v>2.0000000000000018</v>
      </c>
      <c r="F32" s="60"/>
      <c r="G32" s="126" t="s">
        <v>246</v>
      </c>
      <c r="H32" t="s">
        <v>110</v>
      </c>
    </row>
    <row r="33" spans="1:8" x14ac:dyDescent="0.2">
      <c r="B33" s="74">
        <v>2</v>
      </c>
      <c r="C33" s="72">
        <v>0.1</v>
      </c>
      <c r="D33" s="75">
        <v>-4.8</v>
      </c>
      <c r="E33" s="60">
        <f t="shared" si="1"/>
        <v>-1.0000000000000053</v>
      </c>
      <c r="F33" s="60"/>
      <c r="H33" t="s">
        <v>111</v>
      </c>
    </row>
    <row r="34" spans="1:8" ht="15.75" x14ac:dyDescent="0.25">
      <c r="A34" s="61"/>
      <c r="B34" s="74">
        <v>3</v>
      </c>
      <c r="C34" s="72">
        <v>0.2</v>
      </c>
      <c r="D34" s="75">
        <v>-4.9000000000000004</v>
      </c>
      <c r="E34" s="60">
        <f t="shared" si="1"/>
        <v>9.0000000000000036</v>
      </c>
      <c r="F34" s="60">
        <f t="shared" ref="F34:F49" si="2">(D36-D32)/(4*dt)</f>
        <v>4.7499999999999991</v>
      </c>
      <c r="G34" s="126" t="s">
        <v>245</v>
      </c>
    </row>
    <row r="35" spans="1:8" x14ac:dyDescent="0.2">
      <c r="B35" s="74">
        <v>4</v>
      </c>
      <c r="C35" s="72">
        <v>0.3</v>
      </c>
      <c r="D35" s="75">
        <v>-4</v>
      </c>
      <c r="E35" s="60">
        <f t="shared" si="1"/>
        <v>8.9999999999999982</v>
      </c>
      <c r="F35" s="60">
        <f t="shared" si="2"/>
        <v>6.9999999999999991</v>
      </c>
    </row>
    <row r="36" spans="1:8" x14ac:dyDescent="0.2">
      <c r="B36" s="74">
        <v>5</v>
      </c>
      <c r="C36" s="72">
        <v>0.4</v>
      </c>
      <c r="D36" s="75">
        <v>-3.1</v>
      </c>
      <c r="E36" s="60">
        <f t="shared" si="1"/>
        <v>11</v>
      </c>
      <c r="F36" s="60">
        <f t="shared" si="2"/>
        <v>7.5000000000000009</v>
      </c>
    </row>
    <row r="37" spans="1:8" x14ac:dyDescent="0.2">
      <c r="B37" s="74">
        <v>6</v>
      </c>
      <c r="C37" s="72">
        <v>0.5</v>
      </c>
      <c r="D37" s="75">
        <v>-2</v>
      </c>
      <c r="E37" s="60">
        <f t="shared" si="1"/>
        <v>1.0000000000000009</v>
      </c>
      <c r="F37" s="60">
        <f t="shared" si="2"/>
        <v>10</v>
      </c>
    </row>
    <row r="38" spans="1:8" x14ac:dyDescent="0.2">
      <c r="B38" s="74">
        <v>7</v>
      </c>
      <c r="C38" s="72">
        <v>0.6</v>
      </c>
      <c r="D38" s="75">
        <v>-1.9</v>
      </c>
      <c r="E38" s="60">
        <f t="shared" si="1"/>
        <v>18.999999999999996</v>
      </c>
      <c r="F38" s="60">
        <f t="shared" si="2"/>
        <v>10.249999999999998</v>
      </c>
    </row>
    <row r="39" spans="1:8" x14ac:dyDescent="0.2">
      <c r="B39" s="74">
        <v>8</v>
      </c>
      <c r="C39" s="72">
        <v>0.7</v>
      </c>
      <c r="D39" s="75">
        <v>0</v>
      </c>
      <c r="E39" s="60">
        <f t="shared" si="1"/>
        <v>10</v>
      </c>
      <c r="F39" s="60">
        <f t="shared" si="2"/>
        <v>10</v>
      </c>
    </row>
    <row r="40" spans="1:8" x14ac:dyDescent="0.2">
      <c r="B40" s="74">
        <v>9</v>
      </c>
      <c r="C40" s="72">
        <v>0.8</v>
      </c>
      <c r="D40" s="75">
        <v>1</v>
      </c>
      <c r="E40" s="60">
        <f t="shared" si="1"/>
        <v>10</v>
      </c>
      <c r="F40" s="60">
        <f t="shared" si="2"/>
        <v>12.25</v>
      </c>
    </row>
    <row r="41" spans="1:8" x14ac:dyDescent="0.2">
      <c r="B41" s="74">
        <v>10</v>
      </c>
      <c r="C41" s="72">
        <v>0.9</v>
      </c>
      <c r="D41" s="75">
        <v>2</v>
      </c>
      <c r="E41" s="60">
        <f t="shared" si="1"/>
        <v>10</v>
      </c>
      <c r="F41" s="60">
        <f t="shared" si="2"/>
        <v>10</v>
      </c>
    </row>
    <row r="42" spans="1:8" x14ac:dyDescent="0.2">
      <c r="B42" s="74">
        <v>11</v>
      </c>
      <c r="C42" s="72">
        <v>1</v>
      </c>
      <c r="D42" s="75">
        <v>3</v>
      </c>
      <c r="E42" s="60">
        <f t="shared" si="1"/>
        <v>10</v>
      </c>
      <c r="F42" s="60">
        <f t="shared" si="2"/>
        <v>10</v>
      </c>
    </row>
    <row r="43" spans="1:8" ht="14.25" customHeight="1" x14ac:dyDescent="0.2">
      <c r="B43" s="74">
        <v>12</v>
      </c>
      <c r="C43" s="72">
        <v>1.1000000000000001</v>
      </c>
      <c r="D43" s="75">
        <v>4</v>
      </c>
      <c r="E43" s="60">
        <f t="shared" si="1"/>
        <v>10</v>
      </c>
      <c r="F43" s="60">
        <f t="shared" si="2"/>
        <v>10</v>
      </c>
    </row>
    <row r="44" spans="1:8" ht="14.25" customHeight="1" x14ac:dyDescent="0.2">
      <c r="B44" s="74">
        <v>13</v>
      </c>
      <c r="C44" s="72">
        <v>1.2</v>
      </c>
      <c r="D44" s="75">
        <v>5</v>
      </c>
      <c r="E44" s="60">
        <f t="shared" si="1"/>
        <v>10</v>
      </c>
      <c r="F44" s="60">
        <f t="shared" si="2"/>
        <v>10</v>
      </c>
    </row>
    <row r="45" spans="1:8" ht="14.25" customHeight="1" x14ac:dyDescent="0.2">
      <c r="B45" s="74">
        <v>14</v>
      </c>
      <c r="C45" s="72">
        <v>1.3</v>
      </c>
      <c r="D45" s="75">
        <v>6</v>
      </c>
      <c r="E45" s="60">
        <f t="shared" si="1"/>
        <v>10</v>
      </c>
      <c r="F45" s="60">
        <f t="shared" si="2"/>
        <v>7.5</v>
      </c>
    </row>
    <row r="46" spans="1:8" ht="14.25" customHeight="1" x14ac:dyDescent="0.2">
      <c r="B46" s="74">
        <v>15</v>
      </c>
      <c r="C46" s="72">
        <v>1.4</v>
      </c>
      <c r="D46" s="75">
        <v>7</v>
      </c>
      <c r="E46" s="60">
        <f t="shared" si="1"/>
        <v>0</v>
      </c>
      <c r="F46" s="60">
        <f t="shared" si="2"/>
        <v>7.5</v>
      </c>
    </row>
    <row r="47" spans="1:8" ht="14.25" customHeight="1" x14ac:dyDescent="0.2">
      <c r="B47" s="74">
        <v>16</v>
      </c>
      <c r="C47" s="72">
        <v>1.5</v>
      </c>
      <c r="D47" s="75">
        <v>7</v>
      </c>
      <c r="E47" s="60">
        <f t="shared" si="1"/>
        <v>10</v>
      </c>
      <c r="F47" s="60">
        <f t="shared" si="2"/>
        <v>5</v>
      </c>
    </row>
    <row r="48" spans="1:8" ht="14.25" customHeight="1" x14ac:dyDescent="0.2">
      <c r="B48" s="74">
        <v>17</v>
      </c>
      <c r="C48" s="72">
        <v>1.6</v>
      </c>
      <c r="D48" s="75">
        <v>8</v>
      </c>
      <c r="E48" s="60">
        <f t="shared" si="1"/>
        <v>0</v>
      </c>
      <c r="F48" s="60">
        <f t="shared" si="2"/>
        <v>2.5</v>
      </c>
    </row>
    <row r="49" spans="1:6" ht="14.25" customHeight="1" x14ac:dyDescent="0.2">
      <c r="B49" s="74">
        <v>18</v>
      </c>
      <c r="C49" s="72">
        <v>1.7</v>
      </c>
      <c r="D49" s="75">
        <v>8</v>
      </c>
      <c r="E49" s="60">
        <f t="shared" si="1"/>
        <v>0</v>
      </c>
      <c r="F49" s="60">
        <f t="shared" si="2"/>
        <v>2.2500000000000009</v>
      </c>
    </row>
    <row r="50" spans="1:6" ht="14.25" customHeight="1" x14ac:dyDescent="0.2">
      <c r="B50" s="74">
        <v>19</v>
      </c>
      <c r="C50" s="72">
        <v>1.8</v>
      </c>
      <c r="D50" s="75">
        <v>8</v>
      </c>
      <c r="E50" s="60">
        <f t="shared" si="1"/>
        <v>-0.99999999999999645</v>
      </c>
    </row>
    <row r="51" spans="1:6" ht="14.25" customHeight="1" x14ac:dyDescent="0.2">
      <c r="B51" s="74">
        <v>20</v>
      </c>
      <c r="C51" s="72">
        <v>1.9</v>
      </c>
      <c r="D51" s="75">
        <v>7.9</v>
      </c>
      <c r="E51" s="60"/>
    </row>
    <row r="52" spans="1:6" ht="14.25" customHeight="1" x14ac:dyDescent="0.2"/>
    <row r="53" spans="1:6" ht="14.25" customHeight="1" x14ac:dyDescent="0.2"/>
    <row r="54" spans="1:6" ht="14.25" customHeight="1" x14ac:dyDescent="0.2"/>
    <row r="55" spans="1:6" ht="14.25" customHeight="1" x14ac:dyDescent="0.2"/>
    <row r="56" spans="1:6" ht="14.25" customHeight="1" x14ac:dyDescent="0.2"/>
    <row r="57" spans="1:6" ht="14.25" customHeight="1" x14ac:dyDescent="0.2"/>
    <row r="58" spans="1:6" ht="14.25" customHeight="1" x14ac:dyDescent="0.2"/>
    <row r="59" spans="1:6" ht="14.25" customHeight="1" x14ac:dyDescent="0.2"/>
    <row r="60" spans="1:6" ht="14.25" customHeight="1" x14ac:dyDescent="0.2"/>
    <row r="61" spans="1:6" ht="14.25" customHeight="1" x14ac:dyDescent="0.2"/>
    <row r="62" spans="1:6" ht="14.25" customHeight="1" x14ac:dyDescent="0.2"/>
    <row r="63" spans="1:6" ht="14.25" customHeight="1" x14ac:dyDescent="0.2"/>
    <row r="64" spans="1:6" s="130" customFormat="1" ht="20.25" x14ac:dyDescent="0.3">
      <c r="A64" s="131" t="s">
        <v>103</v>
      </c>
      <c r="B64" s="129"/>
      <c r="C64" s="129"/>
      <c r="D64" s="129"/>
    </row>
    <row r="65" spans="2:8" x14ac:dyDescent="0.2">
      <c r="B65" s="52" t="s">
        <v>104</v>
      </c>
      <c r="C65" s="56">
        <v>0</v>
      </c>
      <c r="D65" s="51" t="s">
        <v>105</v>
      </c>
    </row>
    <row r="66" spans="2:8" x14ac:dyDescent="0.2">
      <c r="B66" s="52" t="s">
        <v>243</v>
      </c>
      <c r="C66" s="56">
        <v>0.1</v>
      </c>
    </row>
    <row r="67" spans="2:8" ht="13.5" thickBot="1" x14ac:dyDescent="0.25"/>
    <row r="68" spans="2:8" x14ac:dyDescent="0.2">
      <c r="B68" s="63" t="s">
        <v>101</v>
      </c>
      <c r="C68" s="64" t="s">
        <v>102</v>
      </c>
      <c r="D68" s="65" t="s">
        <v>106</v>
      </c>
      <c r="E68" s="66" t="s">
        <v>107</v>
      </c>
    </row>
    <row r="69" spans="2:8" ht="14.25" x14ac:dyDescent="0.25">
      <c r="B69" s="56">
        <v>0</v>
      </c>
      <c r="C69" s="50">
        <v>1</v>
      </c>
      <c r="E69">
        <v>0</v>
      </c>
      <c r="G69" s="127" t="s">
        <v>309</v>
      </c>
      <c r="H69" t="s">
        <v>248</v>
      </c>
    </row>
    <row r="70" spans="2:8" x14ac:dyDescent="0.2">
      <c r="B70" s="56">
        <v>0.1</v>
      </c>
      <c r="C70" s="50">
        <v>5</v>
      </c>
      <c r="D70" s="147">
        <f>(C70+C69)*dt/2</f>
        <v>0.30000000000000004</v>
      </c>
      <c r="E70" s="67">
        <f>D70+_c</f>
        <v>0.30000000000000004</v>
      </c>
    </row>
    <row r="71" spans="2:8" ht="14.25" x14ac:dyDescent="0.25">
      <c r="B71" s="56">
        <v>0.2</v>
      </c>
      <c r="C71" s="50">
        <v>4</v>
      </c>
      <c r="D71" s="147">
        <f>(C71+C70)*dt/2</f>
        <v>0.45</v>
      </c>
      <c r="E71" s="172">
        <f>D71+E70</f>
        <v>0.75</v>
      </c>
      <c r="G71" s="127" t="s">
        <v>249</v>
      </c>
      <c r="H71" t="s">
        <v>250</v>
      </c>
    </row>
    <row r="72" spans="2:8" x14ac:dyDescent="0.2">
      <c r="B72" s="56">
        <v>0.3</v>
      </c>
      <c r="C72" s="50">
        <v>6</v>
      </c>
      <c r="D72" s="147">
        <f>(C72+C71)*dt/2</f>
        <v>0.5</v>
      </c>
      <c r="E72" s="67">
        <f>D72+E71</f>
        <v>1.25</v>
      </c>
    </row>
    <row r="73" spans="2:8" x14ac:dyDescent="0.2">
      <c r="B73" s="56">
        <v>0.4</v>
      </c>
      <c r="C73" s="50">
        <v>6</v>
      </c>
      <c r="D73" s="147">
        <f>(C73+C72)*dt/2</f>
        <v>0.60000000000000009</v>
      </c>
      <c r="E73" s="67">
        <f>D73+E72</f>
        <v>1.85</v>
      </c>
    </row>
    <row r="74" spans="2:8" ht="13.5" thickBot="1" x14ac:dyDescent="0.25">
      <c r="B74" s="62">
        <v>0.5</v>
      </c>
      <c r="C74" s="68">
        <v>7</v>
      </c>
      <c r="D74" s="147">
        <f>(C74+C73)*dt/2</f>
        <v>0.65</v>
      </c>
      <c r="E74" s="67">
        <f>D74+E73</f>
        <v>2.5</v>
      </c>
    </row>
    <row r="76" spans="2:8" x14ac:dyDescent="0.2">
      <c r="H76" s="69"/>
    </row>
    <row r="80" spans="2:8" x14ac:dyDescent="0.2">
      <c r="B80" t="s">
        <v>108</v>
      </c>
    </row>
    <row r="81" spans="2:2" x14ac:dyDescent="0.2">
      <c r="B81" t="s">
        <v>109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Q17" sqref="Q17"/>
    </sheetView>
  </sheetViews>
  <sheetFormatPr baseColWidth="10" defaultRowHeight="12.75" x14ac:dyDescent="0.2"/>
  <cols>
    <col min="1" max="1" width="13.7109375" style="135" customWidth="1"/>
    <col min="2" max="3" width="14.5703125" style="135" customWidth="1"/>
    <col min="4" max="5" width="16.28515625" style="135" customWidth="1"/>
    <col min="6" max="6" width="14.85546875" style="135" customWidth="1"/>
    <col min="7" max="256" width="11.42578125" style="135"/>
    <col min="257" max="257" width="13.7109375" style="135" customWidth="1"/>
    <col min="258" max="259" width="14.5703125" style="135" customWidth="1"/>
    <col min="260" max="261" width="16.28515625" style="135" customWidth="1"/>
    <col min="262" max="262" width="14.85546875" style="135" customWidth="1"/>
    <col min="263" max="512" width="11.42578125" style="135"/>
    <col min="513" max="513" width="13.7109375" style="135" customWidth="1"/>
    <col min="514" max="515" width="14.5703125" style="135" customWidth="1"/>
    <col min="516" max="517" width="16.28515625" style="135" customWidth="1"/>
    <col min="518" max="518" width="14.85546875" style="135" customWidth="1"/>
    <col min="519" max="768" width="11.42578125" style="135"/>
    <col min="769" max="769" width="13.7109375" style="135" customWidth="1"/>
    <col min="770" max="771" width="14.5703125" style="135" customWidth="1"/>
    <col min="772" max="773" width="16.28515625" style="135" customWidth="1"/>
    <col min="774" max="774" width="14.85546875" style="135" customWidth="1"/>
    <col min="775" max="1024" width="11.42578125" style="135"/>
    <col min="1025" max="1025" width="13.7109375" style="135" customWidth="1"/>
    <col min="1026" max="1027" width="14.5703125" style="135" customWidth="1"/>
    <col min="1028" max="1029" width="16.28515625" style="135" customWidth="1"/>
    <col min="1030" max="1030" width="14.85546875" style="135" customWidth="1"/>
    <col min="1031" max="1280" width="11.42578125" style="135"/>
    <col min="1281" max="1281" width="13.7109375" style="135" customWidth="1"/>
    <col min="1282" max="1283" width="14.5703125" style="135" customWidth="1"/>
    <col min="1284" max="1285" width="16.28515625" style="135" customWidth="1"/>
    <col min="1286" max="1286" width="14.85546875" style="135" customWidth="1"/>
    <col min="1287" max="1536" width="11.42578125" style="135"/>
    <col min="1537" max="1537" width="13.7109375" style="135" customWidth="1"/>
    <col min="1538" max="1539" width="14.5703125" style="135" customWidth="1"/>
    <col min="1540" max="1541" width="16.28515625" style="135" customWidth="1"/>
    <col min="1542" max="1542" width="14.85546875" style="135" customWidth="1"/>
    <col min="1543" max="1792" width="11.42578125" style="135"/>
    <col min="1793" max="1793" width="13.7109375" style="135" customWidth="1"/>
    <col min="1794" max="1795" width="14.5703125" style="135" customWidth="1"/>
    <col min="1796" max="1797" width="16.28515625" style="135" customWidth="1"/>
    <col min="1798" max="1798" width="14.85546875" style="135" customWidth="1"/>
    <col min="1799" max="2048" width="11.42578125" style="135"/>
    <col min="2049" max="2049" width="13.7109375" style="135" customWidth="1"/>
    <col min="2050" max="2051" width="14.5703125" style="135" customWidth="1"/>
    <col min="2052" max="2053" width="16.28515625" style="135" customWidth="1"/>
    <col min="2054" max="2054" width="14.85546875" style="135" customWidth="1"/>
    <col min="2055" max="2304" width="11.42578125" style="135"/>
    <col min="2305" max="2305" width="13.7109375" style="135" customWidth="1"/>
    <col min="2306" max="2307" width="14.5703125" style="135" customWidth="1"/>
    <col min="2308" max="2309" width="16.28515625" style="135" customWidth="1"/>
    <col min="2310" max="2310" width="14.85546875" style="135" customWidth="1"/>
    <col min="2311" max="2560" width="11.42578125" style="135"/>
    <col min="2561" max="2561" width="13.7109375" style="135" customWidth="1"/>
    <col min="2562" max="2563" width="14.5703125" style="135" customWidth="1"/>
    <col min="2564" max="2565" width="16.28515625" style="135" customWidth="1"/>
    <col min="2566" max="2566" width="14.85546875" style="135" customWidth="1"/>
    <col min="2567" max="2816" width="11.42578125" style="135"/>
    <col min="2817" max="2817" width="13.7109375" style="135" customWidth="1"/>
    <col min="2818" max="2819" width="14.5703125" style="135" customWidth="1"/>
    <col min="2820" max="2821" width="16.28515625" style="135" customWidth="1"/>
    <col min="2822" max="2822" width="14.85546875" style="135" customWidth="1"/>
    <col min="2823" max="3072" width="11.42578125" style="135"/>
    <col min="3073" max="3073" width="13.7109375" style="135" customWidth="1"/>
    <col min="3074" max="3075" width="14.5703125" style="135" customWidth="1"/>
    <col min="3076" max="3077" width="16.28515625" style="135" customWidth="1"/>
    <col min="3078" max="3078" width="14.85546875" style="135" customWidth="1"/>
    <col min="3079" max="3328" width="11.42578125" style="135"/>
    <col min="3329" max="3329" width="13.7109375" style="135" customWidth="1"/>
    <col min="3330" max="3331" width="14.5703125" style="135" customWidth="1"/>
    <col min="3332" max="3333" width="16.28515625" style="135" customWidth="1"/>
    <col min="3334" max="3334" width="14.85546875" style="135" customWidth="1"/>
    <col min="3335" max="3584" width="11.42578125" style="135"/>
    <col min="3585" max="3585" width="13.7109375" style="135" customWidth="1"/>
    <col min="3586" max="3587" width="14.5703125" style="135" customWidth="1"/>
    <col min="3588" max="3589" width="16.28515625" style="135" customWidth="1"/>
    <col min="3590" max="3590" width="14.85546875" style="135" customWidth="1"/>
    <col min="3591" max="3840" width="11.42578125" style="135"/>
    <col min="3841" max="3841" width="13.7109375" style="135" customWidth="1"/>
    <col min="3842" max="3843" width="14.5703125" style="135" customWidth="1"/>
    <col min="3844" max="3845" width="16.28515625" style="135" customWidth="1"/>
    <col min="3846" max="3846" width="14.85546875" style="135" customWidth="1"/>
    <col min="3847" max="4096" width="11.42578125" style="135"/>
    <col min="4097" max="4097" width="13.7109375" style="135" customWidth="1"/>
    <col min="4098" max="4099" width="14.5703125" style="135" customWidth="1"/>
    <col min="4100" max="4101" width="16.28515625" style="135" customWidth="1"/>
    <col min="4102" max="4102" width="14.85546875" style="135" customWidth="1"/>
    <col min="4103" max="4352" width="11.42578125" style="135"/>
    <col min="4353" max="4353" width="13.7109375" style="135" customWidth="1"/>
    <col min="4354" max="4355" width="14.5703125" style="135" customWidth="1"/>
    <col min="4356" max="4357" width="16.28515625" style="135" customWidth="1"/>
    <col min="4358" max="4358" width="14.85546875" style="135" customWidth="1"/>
    <col min="4359" max="4608" width="11.42578125" style="135"/>
    <col min="4609" max="4609" width="13.7109375" style="135" customWidth="1"/>
    <col min="4610" max="4611" width="14.5703125" style="135" customWidth="1"/>
    <col min="4612" max="4613" width="16.28515625" style="135" customWidth="1"/>
    <col min="4614" max="4614" width="14.85546875" style="135" customWidth="1"/>
    <col min="4615" max="4864" width="11.42578125" style="135"/>
    <col min="4865" max="4865" width="13.7109375" style="135" customWidth="1"/>
    <col min="4866" max="4867" width="14.5703125" style="135" customWidth="1"/>
    <col min="4868" max="4869" width="16.28515625" style="135" customWidth="1"/>
    <col min="4870" max="4870" width="14.85546875" style="135" customWidth="1"/>
    <col min="4871" max="5120" width="11.42578125" style="135"/>
    <col min="5121" max="5121" width="13.7109375" style="135" customWidth="1"/>
    <col min="5122" max="5123" width="14.5703125" style="135" customWidth="1"/>
    <col min="5124" max="5125" width="16.28515625" style="135" customWidth="1"/>
    <col min="5126" max="5126" width="14.85546875" style="135" customWidth="1"/>
    <col min="5127" max="5376" width="11.42578125" style="135"/>
    <col min="5377" max="5377" width="13.7109375" style="135" customWidth="1"/>
    <col min="5378" max="5379" width="14.5703125" style="135" customWidth="1"/>
    <col min="5380" max="5381" width="16.28515625" style="135" customWidth="1"/>
    <col min="5382" max="5382" width="14.85546875" style="135" customWidth="1"/>
    <col min="5383" max="5632" width="11.42578125" style="135"/>
    <col min="5633" max="5633" width="13.7109375" style="135" customWidth="1"/>
    <col min="5634" max="5635" width="14.5703125" style="135" customWidth="1"/>
    <col min="5636" max="5637" width="16.28515625" style="135" customWidth="1"/>
    <col min="5638" max="5638" width="14.85546875" style="135" customWidth="1"/>
    <col min="5639" max="5888" width="11.42578125" style="135"/>
    <col min="5889" max="5889" width="13.7109375" style="135" customWidth="1"/>
    <col min="5890" max="5891" width="14.5703125" style="135" customWidth="1"/>
    <col min="5892" max="5893" width="16.28515625" style="135" customWidth="1"/>
    <col min="5894" max="5894" width="14.85546875" style="135" customWidth="1"/>
    <col min="5895" max="6144" width="11.42578125" style="135"/>
    <col min="6145" max="6145" width="13.7109375" style="135" customWidth="1"/>
    <col min="6146" max="6147" width="14.5703125" style="135" customWidth="1"/>
    <col min="6148" max="6149" width="16.28515625" style="135" customWidth="1"/>
    <col min="6150" max="6150" width="14.85546875" style="135" customWidth="1"/>
    <col min="6151" max="6400" width="11.42578125" style="135"/>
    <col min="6401" max="6401" width="13.7109375" style="135" customWidth="1"/>
    <col min="6402" max="6403" width="14.5703125" style="135" customWidth="1"/>
    <col min="6404" max="6405" width="16.28515625" style="135" customWidth="1"/>
    <col min="6406" max="6406" width="14.85546875" style="135" customWidth="1"/>
    <col min="6407" max="6656" width="11.42578125" style="135"/>
    <col min="6657" max="6657" width="13.7109375" style="135" customWidth="1"/>
    <col min="6658" max="6659" width="14.5703125" style="135" customWidth="1"/>
    <col min="6660" max="6661" width="16.28515625" style="135" customWidth="1"/>
    <col min="6662" max="6662" width="14.85546875" style="135" customWidth="1"/>
    <col min="6663" max="6912" width="11.42578125" style="135"/>
    <col min="6913" max="6913" width="13.7109375" style="135" customWidth="1"/>
    <col min="6914" max="6915" width="14.5703125" style="135" customWidth="1"/>
    <col min="6916" max="6917" width="16.28515625" style="135" customWidth="1"/>
    <col min="6918" max="6918" width="14.85546875" style="135" customWidth="1"/>
    <col min="6919" max="7168" width="11.42578125" style="135"/>
    <col min="7169" max="7169" width="13.7109375" style="135" customWidth="1"/>
    <col min="7170" max="7171" width="14.5703125" style="135" customWidth="1"/>
    <col min="7172" max="7173" width="16.28515625" style="135" customWidth="1"/>
    <col min="7174" max="7174" width="14.85546875" style="135" customWidth="1"/>
    <col min="7175" max="7424" width="11.42578125" style="135"/>
    <col min="7425" max="7425" width="13.7109375" style="135" customWidth="1"/>
    <col min="7426" max="7427" width="14.5703125" style="135" customWidth="1"/>
    <col min="7428" max="7429" width="16.28515625" style="135" customWidth="1"/>
    <col min="7430" max="7430" width="14.85546875" style="135" customWidth="1"/>
    <col min="7431" max="7680" width="11.42578125" style="135"/>
    <col min="7681" max="7681" width="13.7109375" style="135" customWidth="1"/>
    <col min="7682" max="7683" width="14.5703125" style="135" customWidth="1"/>
    <col min="7684" max="7685" width="16.28515625" style="135" customWidth="1"/>
    <col min="7686" max="7686" width="14.85546875" style="135" customWidth="1"/>
    <col min="7687" max="7936" width="11.42578125" style="135"/>
    <col min="7937" max="7937" width="13.7109375" style="135" customWidth="1"/>
    <col min="7938" max="7939" width="14.5703125" style="135" customWidth="1"/>
    <col min="7940" max="7941" width="16.28515625" style="135" customWidth="1"/>
    <col min="7942" max="7942" width="14.85546875" style="135" customWidth="1"/>
    <col min="7943" max="8192" width="11.42578125" style="135"/>
    <col min="8193" max="8193" width="13.7109375" style="135" customWidth="1"/>
    <col min="8194" max="8195" width="14.5703125" style="135" customWidth="1"/>
    <col min="8196" max="8197" width="16.28515625" style="135" customWidth="1"/>
    <col min="8198" max="8198" width="14.85546875" style="135" customWidth="1"/>
    <col min="8199" max="8448" width="11.42578125" style="135"/>
    <col min="8449" max="8449" width="13.7109375" style="135" customWidth="1"/>
    <col min="8450" max="8451" width="14.5703125" style="135" customWidth="1"/>
    <col min="8452" max="8453" width="16.28515625" style="135" customWidth="1"/>
    <col min="8454" max="8454" width="14.85546875" style="135" customWidth="1"/>
    <col min="8455" max="8704" width="11.42578125" style="135"/>
    <col min="8705" max="8705" width="13.7109375" style="135" customWidth="1"/>
    <col min="8706" max="8707" width="14.5703125" style="135" customWidth="1"/>
    <col min="8708" max="8709" width="16.28515625" style="135" customWidth="1"/>
    <col min="8710" max="8710" width="14.85546875" style="135" customWidth="1"/>
    <col min="8711" max="8960" width="11.42578125" style="135"/>
    <col min="8961" max="8961" width="13.7109375" style="135" customWidth="1"/>
    <col min="8962" max="8963" width="14.5703125" style="135" customWidth="1"/>
    <col min="8964" max="8965" width="16.28515625" style="135" customWidth="1"/>
    <col min="8966" max="8966" width="14.85546875" style="135" customWidth="1"/>
    <col min="8967" max="9216" width="11.42578125" style="135"/>
    <col min="9217" max="9217" width="13.7109375" style="135" customWidth="1"/>
    <col min="9218" max="9219" width="14.5703125" style="135" customWidth="1"/>
    <col min="9220" max="9221" width="16.28515625" style="135" customWidth="1"/>
    <col min="9222" max="9222" width="14.85546875" style="135" customWidth="1"/>
    <col min="9223" max="9472" width="11.42578125" style="135"/>
    <col min="9473" max="9473" width="13.7109375" style="135" customWidth="1"/>
    <col min="9474" max="9475" width="14.5703125" style="135" customWidth="1"/>
    <col min="9476" max="9477" width="16.28515625" style="135" customWidth="1"/>
    <col min="9478" max="9478" width="14.85546875" style="135" customWidth="1"/>
    <col min="9479" max="9728" width="11.42578125" style="135"/>
    <col min="9729" max="9729" width="13.7109375" style="135" customWidth="1"/>
    <col min="9730" max="9731" width="14.5703125" style="135" customWidth="1"/>
    <col min="9732" max="9733" width="16.28515625" style="135" customWidth="1"/>
    <col min="9734" max="9734" width="14.85546875" style="135" customWidth="1"/>
    <col min="9735" max="9984" width="11.42578125" style="135"/>
    <col min="9985" max="9985" width="13.7109375" style="135" customWidth="1"/>
    <col min="9986" max="9987" width="14.5703125" style="135" customWidth="1"/>
    <col min="9988" max="9989" width="16.28515625" style="135" customWidth="1"/>
    <col min="9990" max="9990" width="14.85546875" style="135" customWidth="1"/>
    <col min="9991" max="10240" width="11.42578125" style="135"/>
    <col min="10241" max="10241" width="13.7109375" style="135" customWidth="1"/>
    <col min="10242" max="10243" width="14.5703125" style="135" customWidth="1"/>
    <col min="10244" max="10245" width="16.28515625" style="135" customWidth="1"/>
    <col min="10246" max="10246" width="14.85546875" style="135" customWidth="1"/>
    <col min="10247" max="10496" width="11.42578125" style="135"/>
    <col min="10497" max="10497" width="13.7109375" style="135" customWidth="1"/>
    <col min="10498" max="10499" width="14.5703125" style="135" customWidth="1"/>
    <col min="10500" max="10501" width="16.28515625" style="135" customWidth="1"/>
    <col min="10502" max="10502" width="14.85546875" style="135" customWidth="1"/>
    <col min="10503" max="10752" width="11.42578125" style="135"/>
    <col min="10753" max="10753" width="13.7109375" style="135" customWidth="1"/>
    <col min="10754" max="10755" width="14.5703125" style="135" customWidth="1"/>
    <col min="10756" max="10757" width="16.28515625" style="135" customWidth="1"/>
    <col min="10758" max="10758" width="14.85546875" style="135" customWidth="1"/>
    <col min="10759" max="11008" width="11.42578125" style="135"/>
    <col min="11009" max="11009" width="13.7109375" style="135" customWidth="1"/>
    <col min="11010" max="11011" width="14.5703125" style="135" customWidth="1"/>
    <col min="11012" max="11013" width="16.28515625" style="135" customWidth="1"/>
    <col min="11014" max="11014" width="14.85546875" style="135" customWidth="1"/>
    <col min="11015" max="11264" width="11.42578125" style="135"/>
    <col min="11265" max="11265" width="13.7109375" style="135" customWidth="1"/>
    <col min="11266" max="11267" width="14.5703125" style="135" customWidth="1"/>
    <col min="11268" max="11269" width="16.28515625" style="135" customWidth="1"/>
    <col min="11270" max="11270" width="14.85546875" style="135" customWidth="1"/>
    <col min="11271" max="11520" width="11.42578125" style="135"/>
    <col min="11521" max="11521" width="13.7109375" style="135" customWidth="1"/>
    <col min="11522" max="11523" width="14.5703125" style="135" customWidth="1"/>
    <col min="11524" max="11525" width="16.28515625" style="135" customWidth="1"/>
    <col min="11526" max="11526" width="14.85546875" style="135" customWidth="1"/>
    <col min="11527" max="11776" width="11.42578125" style="135"/>
    <col min="11777" max="11777" width="13.7109375" style="135" customWidth="1"/>
    <col min="11778" max="11779" width="14.5703125" style="135" customWidth="1"/>
    <col min="11780" max="11781" width="16.28515625" style="135" customWidth="1"/>
    <col min="11782" max="11782" width="14.85546875" style="135" customWidth="1"/>
    <col min="11783" max="12032" width="11.42578125" style="135"/>
    <col min="12033" max="12033" width="13.7109375" style="135" customWidth="1"/>
    <col min="12034" max="12035" width="14.5703125" style="135" customWidth="1"/>
    <col min="12036" max="12037" width="16.28515625" style="135" customWidth="1"/>
    <col min="12038" max="12038" width="14.85546875" style="135" customWidth="1"/>
    <col min="12039" max="12288" width="11.42578125" style="135"/>
    <col min="12289" max="12289" width="13.7109375" style="135" customWidth="1"/>
    <col min="12290" max="12291" width="14.5703125" style="135" customWidth="1"/>
    <col min="12292" max="12293" width="16.28515625" style="135" customWidth="1"/>
    <col min="12294" max="12294" width="14.85546875" style="135" customWidth="1"/>
    <col min="12295" max="12544" width="11.42578125" style="135"/>
    <col min="12545" max="12545" width="13.7109375" style="135" customWidth="1"/>
    <col min="12546" max="12547" width="14.5703125" style="135" customWidth="1"/>
    <col min="12548" max="12549" width="16.28515625" style="135" customWidth="1"/>
    <col min="12550" max="12550" width="14.85546875" style="135" customWidth="1"/>
    <col min="12551" max="12800" width="11.42578125" style="135"/>
    <col min="12801" max="12801" width="13.7109375" style="135" customWidth="1"/>
    <col min="12802" max="12803" width="14.5703125" style="135" customWidth="1"/>
    <col min="12804" max="12805" width="16.28515625" style="135" customWidth="1"/>
    <col min="12806" max="12806" width="14.85546875" style="135" customWidth="1"/>
    <col min="12807" max="13056" width="11.42578125" style="135"/>
    <col min="13057" max="13057" width="13.7109375" style="135" customWidth="1"/>
    <col min="13058" max="13059" width="14.5703125" style="135" customWidth="1"/>
    <col min="13060" max="13061" width="16.28515625" style="135" customWidth="1"/>
    <col min="13062" max="13062" width="14.85546875" style="135" customWidth="1"/>
    <col min="13063" max="13312" width="11.42578125" style="135"/>
    <col min="13313" max="13313" width="13.7109375" style="135" customWidth="1"/>
    <col min="13314" max="13315" width="14.5703125" style="135" customWidth="1"/>
    <col min="13316" max="13317" width="16.28515625" style="135" customWidth="1"/>
    <col min="13318" max="13318" width="14.85546875" style="135" customWidth="1"/>
    <col min="13319" max="13568" width="11.42578125" style="135"/>
    <col min="13569" max="13569" width="13.7109375" style="135" customWidth="1"/>
    <col min="13570" max="13571" width="14.5703125" style="135" customWidth="1"/>
    <col min="13572" max="13573" width="16.28515625" style="135" customWidth="1"/>
    <col min="13574" max="13574" width="14.85546875" style="135" customWidth="1"/>
    <col min="13575" max="13824" width="11.42578125" style="135"/>
    <col min="13825" max="13825" width="13.7109375" style="135" customWidth="1"/>
    <col min="13826" max="13827" width="14.5703125" style="135" customWidth="1"/>
    <col min="13828" max="13829" width="16.28515625" style="135" customWidth="1"/>
    <col min="13830" max="13830" width="14.85546875" style="135" customWidth="1"/>
    <col min="13831" max="14080" width="11.42578125" style="135"/>
    <col min="14081" max="14081" width="13.7109375" style="135" customWidth="1"/>
    <col min="14082" max="14083" width="14.5703125" style="135" customWidth="1"/>
    <col min="14084" max="14085" width="16.28515625" style="135" customWidth="1"/>
    <col min="14086" max="14086" width="14.85546875" style="135" customWidth="1"/>
    <col min="14087" max="14336" width="11.42578125" style="135"/>
    <col min="14337" max="14337" width="13.7109375" style="135" customWidth="1"/>
    <col min="14338" max="14339" width="14.5703125" style="135" customWidth="1"/>
    <col min="14340" max="14341" width="16.28515625" style="135" customWidth="1"/>
    <col min="14342" max="14342" width="14.85546875" style="135" customWidth="1"/>
    <col min="14343" max="14592" width="11.42578125" style="135"/>
    <col min="14593" max="14593" width="13.7109375" style="135" customWidth="1"/>
    <col min="14594" max="14595" width="14.5703125" style="135" customWidth="1"/>
    <col min="14596" max="14597" width="16.28515625" style="135" customWidth="1"/>
    <col min="14598" max="14598" width="14.85546875" style="135" customWidth="1"/>
    <col min="14599" max="14848" width="11.42578125" style="135"/>
    <col min="14849" max="14849" width="13.7109375" style="135" customWidth="1"/>
    <col min="14850" max="14851" width="14.5703125" style="135" customWidth="1"/>
    <col min="14852" max="14853" width="16.28515625" style="135" customWidth="1"/>
    <col min="14854" max="14854" width="14.85546875" style="135" customWidth="1"/>
    <col min="14855" max="15104" width="11.42578125" style="135"/>
    <col min="15105" max="15105" width="13.7109375" style="135" customWidth="1"/>
    <col min="15106" max="15107" width="14.5703125" style="135" customWidth="1"/>
    <col min="15108" max="15109" width="16.28515625" style="135" customWidth="1"/>
    <col min="15110" max="15110" width="14.85546875" style="135" customWidth="1"/>
    <col min="15111" max="15360" width="11.42578125" style="135"/>
    <col min="15361" max="15361" width="13.7109375" style="135" customWidth="1"/>
    <col min="15362" max="15363" width="14.5703125" style="135" customWidth="1"/>
    <col min="15364" max="15365" width="16.28515625" style="135" customWidth="1"/>
    <col min="15366" max="15366" width="14.85546875" style="135" customWidth="1"/>
    <col min="15367" max="15616" width="11.42578125" style="135"/>
    <col min="15617" max="15617" width="13.7109375" style="135" customWidth="1"/>
    <col min="15618" max="15619" width="14.5703125" style="135" customWidth="1"/>
    <col min="15620" max="15621" width="16.28515625" style="135" customWidth="1"/>
    <col min="15622" max="15622" width="14.85546875" style="135" customWidth="1"/>
    <col min="15623" max="15872" width="11.42578125" style="135"/>
    <col min="15873" max="15873" width="13.7109375" style="135" customWidth="1"/>
    <col min="15874" max="15875" width="14.5703125" style="135" customWidth="1"/>
    <col min="15876" max="15877" width="16.28515625" style="135" customWidth="1"/>
    <col min="15878" max="15878" width="14.85546875" style="135" customWidth="1"/>
    <col min="15879" max="16128" width="11.42578125" style="135"/>
    <col min="16129" max="16129" width="13.7109375" style="135" customWidth="1"/>
    <col min="16130" max="16131" width="14.5703125" style="135" customWidth="1"/>
    <col min="16132" max="16133" width="16.28515625" style="135" customWidth="1"/>
    <col min="16134" max="16134" width="14.85546875" style="135" customWidth="1"/>
    <col min="16135" max="16384" width="11.42578125" style="135"/>
  </cols>
  <sheetData>
    <row r="1" spans="1:7" ht="27" x14ac:dyDescent="0.35">
      <c r="A1" s="132" t="s">
        <v>266</v>
      </c>
      <c r="B1" s="132"/>
      <c r="C1" s="132"/>
      <c r="D1" s="132"/>
      <c r="E1" s="133"/>
      <c r="F1" s="133"/>
      <c r="G1" s="134"/>
    </row>
    <row r="2" spans="1:7" ht="60" x14ac:dyDescent="0.35">
      <c r="A2" s="136"/>
      <c r="B2" s="137"/>
      <c r="C2" s="138" t="s">
        <v>267</v>
      </c>
      <c r="D2" s="138" t="s">
        <v>268</v>
      </c>
      <c r="E2" s="137"/>
      <c r="G2" s="134"/>
    </row>
    <row r="3" spans="1:7" ht="22.5" customHeight="1" x14ac:dyDescent="0.25">
      <c r="A3" s="136"/>
      <c r="B3" s="137"/>
      <c r="C3" s="137"/>
      <c r="D3" s="137"/>
      <c r="E3" s="137"/>
      <c r="F3" s="137"/>
      <c r="G3" s="134"/>
    </row>
    <row r="4" spans="1:7" ht="18" x14ac:dyDescent="0.25">
      <c r="A4" s="139" t="s">
        <v>90</v>
      </c>
      <c r="B4" s="140" t="s">
        <v>86</v>
      </c>
      <c r="C4" s="140" t="s">
        <v>87</v>
      </c>
      <c r="D4" s="140" t="s">
        <v>88</v>
      </c>
      <c r="E4" s="137"/>
      <c r="F4" s="141"/>
      <c r="G4" s="142"/>
    </row>
    <row r="5" spans="1:7" ht="17.25" customHeight="1" x14ac:dyDescent="0.25">
      <c r="A5" s="143">
        <v>0</v>
      </c>
      <c r="B5" s="143">
        <v>0</v>
      </c>
      <c r="C5" s="144"/>
      <c r="D5" s="143"/>
      <c r="E5" s="145"/>
      <c r="F5" s="142"/>
      <c r="G5" s="142"/>
    </row>
    <row r="6" spans="1:7" ht="17.25" customHeight="1" x14ac:dyDescent="0.25">
      <c r="A6" s="143">
        <v>0.1</v>
      </c>
      <c r="B6" s="143">
        <v>0.5</v>
      </c>
      <c r="C6" s="144">
        <f>+(B7-B5)/(A7-A5)</f>
        <v>5.9999999999999991</v>
      </c>
      <c r="D6" s="143"/>
      <c r="E6" s="145"/>
      <c r="F6" s="142"/>
      <c r="G6" s="142"/>
    </row>
    <row r="7" spans="1:7" s="142" customFormat="1" ht="17.25" customHeight="1" x14ac:dyDescent="0.25">
      <c r="A7" s="143">
        <v>0.2</v>
      </c>
      <c r="B7" s="143">
        <v>1.2</v>
      </c>
      <c r="C7" s="144">
        <f t="shared" ref="C7:C16" si="0">+(B8-B6)/(A8-A6)</f>
        <v>6</v>
      </c>
      <c r="D7" s="143">
        <f>+(C8-C6)/(A7-A5)</f>
        <v>-12.499999999999996</v>
      </c>
      <c r="E7" s="145"/>
    </row>
    <row r="8" spans="1:7" s="142" customFormat="1" ht="17.25" customHeight="1" x14ac:dyDescent="0.25">
      <c r="A8" s="143">
        <v>0.3</v>
      </c>
      <c r="B8" s="143">
        <v>1.7</v>
      </c>
      <c r="C8" s="144">
        <f t="shared" si="0"/>
        <v>3.4999999999999996</v>
      </c>
      <c r="D8" s="143">
        <f t="shared" ref="D8:D15" si="1">+(C9-C7)/(A8-A6)</f>
        <v>-22.500000000000004</v>
      </c>
      <c r="E8" s="145"/>
    </row>
    <row r="9" spans="1:7" s="142" customFormat="1" ht="17.25" customHeight="1" x14ac:dyDescent="0.25">
      <c r="A9" s="143">
        <v>0.4</v>
      </c>
      <c r="B9" s="143">
        <v>1.9</v>
      </c>
      <c r="C9" s="144">
        <f t="shared" si="0"/>
        <v>1.5000000000000002</v>
      </c>
      <c r="D9" s="143">
        <f t="shared" si="1"/>
        <v>-17.499999999999996</v>
      </c>
      <c r="E9" s="145"/>
    </row>
    <row r="10" spans="1:7" s="142" customFormat="1" ht="17.25" customHeight="1" x14ac:dyDescent="0.25">
      <c r="A10" s="143">
        <v>0.5</v>
      </c>
      <c r="B10" s="143">
        <v>2</v>
      </c>
      <c r="C10" s="144">
        <f t="shared" si="0"/>
        <v>0</v>
      </c>
      <c r="D10" s="143">
        <f t="shared" si="1"/>
        <v>-12.5</v>
      </c>
      <c r="E10" s="145"/>
    </row>
    <row r="11" spans="1:7" s="142" customFormat="1" ht="17.25" customHeight="1" x14ac:dyDescent="0.25">
      <c r="A11" s="143">
        <v>0.6</v>
      </c>
      <c r="B11" s="143">
        <v>1.9</v>
      </c>
      <c r="C11" s="144">
        <f t="shared" si="0"/>
        <v>-1</v>
      </c>
      <c r="D11" s="143">
        <f t="shared" si="1"/>
        <v>-4.9999999999999982</v>
      </c>
      <c r="E11" s="145"/>
    </row>
    <row r="12" spans="1:7" s="142" customFormat="1" ht="17.25" customHeight="1" x14ac:dyDescent="0.25">
      <c r="A12" s="143">
        <v>0.7</v>
      </c>
      <c r="B12" s="143">
        <v>1.8</v>
      </c>
      <c r="C12" s="144">
        <f t="shared" si="0"/>
        <v>-0.99999999999999944</v>
      </c>
      <c r="D12" s="143">
        <f t="shared" si="1"/>
        <v>-14.999999999999998</v>
      </c>
    </row>
    <row r="13" spans="1:7" s="142" customFormat="1" ht="17.25" customHeight="1" x14ac:dyDescent="0.25">
      <c r="A13" s="143">
        <v>0.8</v>
      </c>
      <c r="B13" s="143">
        <v>1.7</v>
      </c>
      <c r="C13" s="144">
        <f t="shared" si="0"/>
        <v>-3.9999999999999991</v>
      </c>
      <c r="D13" s="143">
        <f t="shared" si="1"/>
        <v>-25</v>
      </c>
      <c r="E13" s="135"/>
      <c r="F13" s="135"/>
      <c r="G13" s="135"/>
    </row>
    <row r="14" spans="1:7" s="142" customFormat="1" ht="17.25" customHeight="1" x14ac:dyDescent="0.25">
      <c r="A14" s="143">
        <v>0.9</v>
      </c>
      <c r="B14" s="143">
        <v>1</v>
      </c>
      <c r="C14" s="144">
        <f t="shared" si="0"/>
        <v>-6.0000000000000009</v>
      </c>
      <c r="D14" s="143">
        <f t="shared" si="1"/>
        <v>-4.9999999999999938</v>
      </c>
      <c r="E14" s="135"/>
      <c r="F14" s="135"/>
      <c r="G14" s="135"/>
    </row>
    <row r="15" spans="1:7" s="142" customFormat="1" ht="17.25" customHeight="1" x14ac:dyDescent="0.25">
      <c r="A15" s="143">
        <v>1</v>
      </c>
      <c r="B15" s="143">
        <v>0.5</v>
      </c>
      <c r="C15" s="144">
        <f t="shared" si="0"/>
        <v>-4.9999999999999982</v>
      </c>
      <c r="D15" s="143">
        <f t="shared" si="1"/>
        <v>17.500000000000007</v>
      </c>
      <c r="E15" s="135"/>
      <c r="F15" s="135"/>
      <c r="G15" s="135"/>
    </row>
    <row r="16" spans="1:7" s="142" customFormat="1" ht="17.25" customHeight="1" x14ac:dyDescent="0.25">
      <c r="A16" s="143">
        <v>1.1000000000000001</v>
      </c>
      <c r="B16" s="143">
        <v>0</v>
      </c>
      <c r="C16" s="144">
        <f t="shared" si="0"/>
        <v>-2.5000000000000004</v>
      </c>
      <c r="D16" s="146"/>
      <c r="E16" s="135"/>
      <c r="F16" s="135"/>
      <c r="G16" s="135"/>
    </row>
    <row r="17" spans="1:7" s="142" customFormat="1" ht="17.25" customHeight="1" x14ac:dyDescent="0.25">
      <c r="A17" s="143">
        <v>1.2</v>
      </c>
      <c r="B17" s="143">
        <v>0</v>
      </c>
      <c r="C17" s="143"/>
      <c r="D17" s="146"/>
      <c r="E17" s="135"/>
      <c r="F17" s="135"/>
      <c r="G17" s="135"/>
    </row>
    <row r="18" spans="1:7" s="142" customFormat="1" ht="18" x14ac:dyDescent="0.25">
      <c r="A18" s="135"/>
      <c r="B18" s="135"/>
      <c r="C18" s="135"/>
      <c r="D18" s="135"/>
      <c r="E18" s="135"/>
      <c r="F18" s="135"/>
      <c r="G18" s="135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7" sqref="A27"/>
    </sheetView>
  </sheetViews>
  <sheetFormatPr baseColWidth="10" defaultRowHeight="12.75" x14ac:dyDescent="0.2"/>
  <cols>
    <col min="1" max="1" width="13.7109375" customWidth="1"/>
    <col min="2" max="3" width="14.5703125" customWidth="1"/>
    <col min="4" max="4" width="23.85546875" customWidth="1"/>
    <col min="5" max="5" width="16.28515625" customWidth="1"/>
    <col min="6" max="6" width="19" customWidth="1"/>
  </cols>
  <sheetData>
    <row r="1" spans="1:7" ht="18" x14ac:dyDescent="0.25">
      <c r="A1" s="42" t="s">
        <v>92</v>
      </c>
    </row>
    <row r="2" spans="1:7" ht="18" x14ac:dyDescent="0.25">
      <c r="A2" s="43" t="s">
        <v>93</v>
      </c>
    </row>
    <row r="3" spans="1:7" ht="22.5" customHeight="1" x14ac:dyDescent="0.25">
      <c r="E3" s="1"/>
    </row>
    <row r="4" spans="1:7" ht="13.5" thickBot="1" x14ac:dyDescent="0.25"/>
    <row r="5" spans="1:7" ht="18" x14ac:dyDescent="0.25">
      <c r="A5" s="154" t="s">
        <v>91</v>
      </c>
      <c r="B5" s="155" t="s">
        <v>79</v>
      </c>
      <c r="C5" s="41">
        <v>10</v>
      </c>
      <c r="D5" s="157" t="s">
        <v>72</v>
      </c>
    </row>
    <row r="6" spans="1:7" ht="24" thickBot="1" x14ac:dyDescent="0.4">
      <c r="A6" s="28" t="s">
        <v>270</v>
      </c>
      <c r="B6" s="156" t="s">
        <v>89</v>
      </c>
      <c r="C6" s="46">
        <f>1/C5</f>
        <v>0.1</v>
      </c>
      <c r="D6" s="158" t="s">
        <v>1</v>
      </c>
      <c r="E6" s="39"/>
      <c r="F6" s="39"/>
      <c r="G6" s="35"/>
    </row>
    <row r="7" spans="1:7" s="1" customFormat="1" ht="28.5" customHeight="1" x14ac:dyDescent="0.35">
      <c r="A7" s="148" t="s">
        <v>94</v>
      </c>
      <c r="B7" s="148"/>
      <c r="C7" s="148"/>
      <c r="D7" s="148"/>
      <c r="E7" s="149"/>
      <c r="F7" s="149"/>
      <c r="G7" s="37"/>
    </row>
    <row r="8" spans="1:7" s="1" customFormat="1" ht="63" customHeight="1" x14ac:dyDescent="0.35">
      <c r="A8" s="150"/>
      <c r="B8" s="151"/>
      <c r="C8" s="151"/>
      <c r="D8" s="152" t="s">
        <v>269</v>
      </c>
      <c r="E8" s="153"/>
      <c r="F8" s="152" t="s">
        <v>96</v>
      </c>
      <c r="G8" s="37"/>
    </row>
    <row r="9" spans="1:7" s="1" customFormat="1" ht="18" x14ac:dyDescent="0.25">
      <c r="A9" s="150"/>
      <c r="B9" s="151"/>
      <c r="C9" s="151"/>
      <c r="D9" s="151"/>
      <c r="E9" s="151"/>
      <c r="F9" s="151"/>
      <c r="G9" s="37"/>
    </row>
    <row r="10" spans="1:7" s="1" customFormat="1" ht="18" x14ac:dyDescent="0.25">
      <c r="A10" s="38" t="s">
        <v>90</v>
      </c>
      <c r="B10" s="36" t="s">
        <v>95</v>
      </c>
      <c r="C10" s="36" t="s">
        <v>87</v>
      </c>
      <c r="D10" s="36" t="s">
        <v>86</v>
      </c>
      <c r="E10" s="37"/>
    </row>
    <row r="11" spans="1:7" s="1" customFormat="1" ht="18" x14ac:dyDescent="0.25">
      <c r="A11" s="44">
        <v>0</v>
      </c>
      <c r="B11" s="40">
        <v>0.2</v>
      </c>
      <c r="C11" s="40">
        <v>0</v>
      </c>
      <c r="D11" s="47">
        <v>1</v>
      </c>
      <c r="E11" s="10"/>
    </row>
    <row r="12" spans="1:7" s="1" customFormat="1" ht="18" x14ac:dyDescent="0.25">
      <c r="A12" s="44">
        <f t="shared" ref="A12:A25" si="0">+A11+C$6</f>
        <v>0.1</v>
      </c>
      <c r="B12" s="40">
        <v>0.3</v>
      </c>
      <c r="C12" s="45">
        <f>+(B11+B12)/2*C$6+C11</f>
        <v>2.5000000000000001E-2</v>
      </c>
      <c r="D12" s="45">
        <f>+(C11+C12)/2*C$6+D11</f>
        <v>1.00125</v>
      </c>
      <c r="E12" s="10"/>
    </row>
    <row r="13" spans="1:7" s="1" customFormat="1" ht="18" x14ac:dyDescent="0.25">
      <c r="A13" s="44">
        <f t="shared" si="0"/>
        <v>0.2</v>
      </c>
      <c r="B13" s="40">
        <v>0.4</v>
      </c>
      <c r="C13" s="45">
        <f t="shared" ref="C13:C25" si="1">+(B12+B13)/2*C$6+C12</f>
        <v>0.06</v>
      </c>
      <c r="D13" s="45">
        <f t="shared" ref="D13:D25" si="2">+(C12+C13)/2*C$6+D12</f>
        <v>1.0055000000000001</v>
      </c>
      <c r="E13" s="10"/>
    </row>
    <row r="14" spans="1:7" s="1" customFormat="1" ht="18" x14ac:dyDescent="0.25">
      <c r="A14" s="44">
        <f t="shared" si="0"/>
        <v>0.30000000000000004</v>
      </c>
      <c r="B14" s="40">
        <v>0.3</v>
      </c>
      <c r="C14" s="45">
        <f t="shared" si="1"/>
        <v>9.5000000000000001E-2</v>
      </c>
      <c r="D14" s="45">
        <f t="shared" si="2"/>
        <v>1.01325</v>
      </c>
      <c r="E14" s="10"/>
    </row>
    <row r="15" spans="1:7" s="1" customFormat="1" ht="18" x14ac:dyDescent="0.25">
      <c r="A15" s="44">
        <f t="shared" si="0"/>
        <v>0.4</v>
      </c>
      <c r="B15" s="40">
        <v>0.2</v>
      </c>
      <c r="C15" s="45">
        <f t="shared" si="1"/>
        <v>0.12</v>
      </c>
      <c r="D15" s="45">
        <f t="shared" si="2"/>
        <v>1.024</v>
      </c>
      <c r="E15" s="10"/>
    </row>
    <row r="16" spans="1:7" s="1" customFormat="1" ht="18" x14ac:dyDescent="0.25">
      <c r="A16" s="44">
        <f t="shared" si="0"/>
        <v>0.5</v>
      </c>
      <c r="B16" s="40">
        <v>0.1</v>
      </c>
      <c r="C16" s="45">
        <f t="shared" si="1"/>
        <v>0.13500000000000001</v>
      </c>
      <c r="D16" s="45">
        <f t="shared" si="2"/>
        <v>1.0367500000000001</v>
      </c>
      <c r="E16" s="10"/>
    </row>
    <row r="17" spans="1:5" s="1" customFormat="1" ht="18" x14ac:dyDescent="0.25">
      <c r="A17" s="44">
        <f t="shared" si="0"/>
        <v>0.6</v>
      </c>
      <c r="B17" s="40">
        <v>0</v>
      </c>
      <c r="C17" s="45">
        <f t="shared" si="1"/>
        <v>0.14000000000000001</v>
      </c>
      <c r="D17" s="45">
        <f t="shared" si="2"/>
        <v>1.0505</v>
      </c>
      <c r="E17" s="10"/>
    </row>
    <row r="18" spans="1:5" s="1" customFormat="1" ht="18" x14ac:dyDescent="0.25">
      <c r="A18" s="44">
        <f t="shared" si="0"/>
        <v>0.7</v>
      </c>
      <c r="B18" s="40">
        <v>-0.1</v>
      </c>
      <c r="C18" s="45">
        <f t="shared" si="1"/>
        <v>0.13500000000000001</v>
      </c>
      <c r="D18" s="45">
        <f t="shared" si="2"/>
        <v>1.0642499999999999</v>
      </c>
    </row>
    <row r="19" spans="1:5" ht="18" x14ac:dyDescent="0.25">
      <c r="A19" s="44">
        <f t="shared" si="0"/>
        <v>0.79999999999999993</v>
      </c>
      <c r="B19" s="40">
        <v>-0.2</v>
      </c>
      <c r="C19" s="45">
        <f t="shared" si="1"/>
        <v>0.12000000000000001</v>
      </c>
      <c r="D19" s="45">
        <f t="shared" si="2"/>
        <v>1.077</v>
      </c>
    </row>
    <row r="20" spans="1:5" ht="18" x14ac:dyDescent="0.25">
      <c r="A20" s="44">
        <f t="shared" si="0"/>
        <v>0.89999999999999991</v>
      </c>
      <c r="B20" s="40">
        <v>-0.3</v>
      </c>
      <c r="C20" s="45">
        <f t="shared" si="1"/>
        <v>9.5000000000000001E-2</v>
      </c>
      <c r="D20" s="45">
        <f t="shared" si="2"/>
        <v>1.08775</v>
      </c>
    </row>
    <row r="21" spans="1:5" ht="18" x14ac:dyDescent="0.25">
      <c r="A21" s="44">
        <f t="shared" si="0"/>
        <v>0.99999999999999989</v>
      </c>
      <c r="B21" s="40">
        <v>-0.4</v>
      </c>
      <c r="C21" s="45">
        <f t="shared" si="1"/>
        <v>6.0000000000000005E-2</v>
      </c>
      <c r="D21" s="45">
        <f t="shared" si="2"/>
        <v>1.0954999999999999</v>
      </c>
    </row>
    <row r="22" spans="1:5" ht="18" x14ac:dyDescent="0.25">
      <c r="A22" s="44">
        <f t="shared" si="0"/>
        <v>1.0999999999999999</v>
      </c>
      <c r="B22" s="40">
        <v>-0.3</v>
      </c>
      <c r="C22" s="45">
        <f t="shared" si="1"/>
        <v>2.5000000000000008E-2</v>
      </c>
      <c r="D22" s="45">
        <f t="shared" si="2"/>
        <v>1.09975</v>
      </c>
    </row>
    <row r="23" spans="1:5" ht="18" x14ac:dyDescent="0.25">
      <c r="A23" s="44">
        <f t="shared" si="0"/>
        <v>1.2</v>
      </c>
      <c r="B23" s="40">
        <v>-0.1</v>
      </c>
      <c r="C23" s="45">
        <f t="shared" si="1"/>
        <v>5.0000000000000044E-3</v>
      </c>
      <c r="D23" s="45">
        <f t="shared" si="2"/>
        <v>1.1012500000000001</v>
      </c>
    </row>
    <row r="24" spans="1:5" ht="18" x14ac:dyDescent="0.25">
      <c r="A24" s="44">
        <f t="shared" si="0"/>
        <v>1.3</v>
      </c>
      <c r="B24" s="40">
        <v>0</v>
      </c>
      <c r="C24" s="45">
        <f t="shared" si="1"/>
        <v>0</v>
      </c>
      <c r="D24" s="45">
        <f t="shared" si="2"/>
        <v>1.1015000000000001</v>
      </c>
    </row>
    <row r="25" spans="1:5" ht="18" x14ac:dyDescent="0.25">
      <c r="A25" s="44">
        <f t="shared" si="0"/>
        <v>1.4000000000000001</v>
      </c>
      <c r="B25" s="40">
        <v>0.1</v>
      </c>
      <c r="C25" s="45">
        <f t="shared" si="1"/>
        <v>5.000000000000001E-3</v>
      </c>
      <c r="D25" s="45">
        <f t="shared" si="2"/>
        <v>1.1017500000000002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zoomScale="120" workbookViewId="0">
      <selection activeCell="O32" sqref="O32"/>
    </sheetView>
  </sheetViews>
  <sheetFormatPr baseColWidth="10" defaultColWidth="11.5703125" defaultRowHeight="12.75" x14ac:dyDescent="0.2"/>
  <cols>
    <col min="1" max="1" width="4.28515625" style="77" customWidth="1"/>
    <col min="2" max="2" width="15.7109375" style="77" customWidth="1"/>
    <col min="3" max="3" width="3.42578125" style="78" customWidth="1"/>
    <col min="4" max="4" width="5.85546875" style="79" customWidth="1"/>
    <col min="5" max="5" width="6.42578125" style="77" customWidth="1"/>
    <col min="6" max="6" width="2.42578125" style="77" customWidth="1"/>
    <col min="7" max="7" width="16.7109375" style="77" customWidth="1"/>
    <col min="8" max="8" width="4.7109375" style="77" customWidth="1"/>
    <col min="9" max="9" width="7.5703125" style="77" customWidth="1"/>
    <col min="10" max="10" width="7.42578125" style="77" customWidth="1"/>
    <col min="11" max="11" width="2.28515625" style="77" customWidth="1"/>
    <col min="12" max="12" width="7.28515625" style="77" customWidth="1"/>
    <col min="13" max="13" width="8.7109375" style="77" customWidth="1"/>
    <col min="14" max="14" width="3.28515625" style="77" customWidth="1"/>
    <col min="15" max="15" width="8.42578125" style="77" customWidth="1"/>
    <col min="16" max="16" width="7.42578125" style="77" customWidth="1"/>
    <col min="17" max="16384" width="11.5703125" style="77"/>
  </cols>
  <sheetData>
    <row r="2" spans="1:11" x14ac:dyDescent="0.2">
      <c r="A2" s="77" t="s">
        <v>294</v>
      </c>
    </row>
    <row r="3" spans="1:11" ht="16.5" customHeight="1" x14ac:dyDescent="0.2">
      <c r="A3" s="77" t="s">
        <v>295</v>
      </c>
      <c r="H3" s="20"/>
      <c r="I3" s="20"/>
      <c r="J3" s="20"/>
    </row>
    <row r="4" spans="1:11" ht="16.5" customHeight="1" x14ac:dyDescent="0.2">
      <c r="H4" s="20"/>
      <c r="I4" s="20"/>
      <c r="J4" s="20"/>
    </row>
    <row r="5" spans="1:11" ht="14.25" customHeight="1" x14ac:dyDescent="0.2">
      <c r="A5" s="168"/>
      <c r="B5" s="168" t="s">
        <v>143</v>
      </c>
      <c r="C5" s="170"/>
      <c r="D5" s="171" t="s">
        <v>144</v>
      </c>
      <c r="E5" s="171" t="s">
        <v>43</v>
      </c>
      <c r="F5" s="168"/>
      <c r="G5" s="168" t="s">
        <v>145</v>
      </c>
      <c r="H5" s="168"/>
      <c r="I5" s="171" t="s">
        <v>144</v>
      </c>
      <c r="J5" s="171" t="s">
        <v>43</v>
      </c>
      <c r="K5" s="20"/>
    </row>
    <row r="6" spans="1:11" ht="14.25" customHeight="1" x14ac:dyDescent="0.2">
      <c r="B6" s="89" t="s">
        <v>159</v>
      </c>
      <c r="C6" s="87" t="s">
        <v>1</v>
      </c>
      <c r="D6" s="161">
        <v>42</v>
      </c>
      <c r="E6" s="89" t="s">
        <v>291</v>
      </c>
      <c r="F6" s="89"/>
      <c r="G6" s="89" t="s">
        <v>159</v>
      </c>
      <c r="H6" s="89" t="s">
        <v>1</v>
      </c>
      <c r="I6" s="164">
        <f>D6*1000+D7</f>
        <v>42195</v>
      </c>
      <c r="J6" s="89" t="s">
        <v>3</v>
      </c>
      <c r="K6" s="20"/>
    </row>
    <row r="7" spans="1:11" ht="14.25" customHeight="1" x14ac:dyDescent="0.2">
      <c r="B7" s="89"/>
      <c r="C7" s="87"/>
      <c r="D7" s="160">
        <v>195</v>
      </c>
      <c r="E7" s="89" t="s">
        <v>3</v>
      </c>
      <c r="F7" s="89"/>
      <c r="G7" s="89"/>
      <c r="H7" s="89"/>
      <c r="I7" s="89"/>
      <c r="J7" s="89"/>
      <c r="K7" s="20"/>
    </row>
    <row r="8" spans="1:11" ht="14.25" customHeight="1" x14ac:dyDescent="0.2">
      <c r="B8" s="89"/>
      <c r="C8" s="87"/>
      <c r="D8" s="106"/>
      <c r="E8" s="89"/>
      <c r="F8" s="89"/>
      <c r="G8" s="89"/>
      <c r="H8" s="89"/>
      <c r="I8" s="91"/>
      <c r="J8" s="89"/>
      <c r="K8" s="20"/>
    </row>
    <row r="9" spans="1:11" ht="14.25" customHeight="1" x14ac:dyDescent="0.2">
      <c r="B9" s="89" t="s">
        <v>0</v>
      </c>
      <c r="C9" s="87" t="s">
        <v>2</v>
      </c>
      <c r="D9" s="160">
        <v>3</v>
      </c>
      <c r="E9" s="89" t="s">
        <v>155</v>
      </c>
      <c r="F9" s="89"/>
      <c r="G9" s="89" t="s">
        <v>0</v>
      </c>
      <c r="H9" s="89" t="s">
        <v>2</v>
      </c>
      <c r="I9" s="165">
        <f>+D9*3600+D10*60+D11</f>
        <v>11637</v>
      </c>
      <c r="J9" s="89" t="s">
        <v>1</v>
      </c>
      <c r="K9" s="20"/>
    </row>
    <row r="10" spans="1:11" ht="14.25" customHeight="1" x14ac:dyDescent="0.2">
      <c r="B10" s="89" t="s">
        <v>0</v>
      </c>
      <c r="C10" s="87"/>
      <c r="D10" s="160">
        <v>13</v>
      </c>
      <c r="E10" s="89" t="s">
        <v>169</v>
      </c>
      <c r="F10" s="89"/>
      <c r="G10" s="89"/>
      <c r="H10" s="89"/>
      <c r="I10" s="89"/>
      <c r="J10" s="89"/>
      <c r="K10" s="20"/>
    </row>
    <row r="11" spans="1:11" ht="14.25" customHeight="1" x14ac:dyDescent="0.2">
      <c r="B11" s="89" t="s">
        <v>0</v>
      </c>
      <c r="C11" s="87"/>
      <c r="D11" s="160">
        <v>57</v>
      </c>
      <c r="E11" s="89" t="s">
        <v>1</v>
      </c>
      <c r="F11" s="89"/>
      <c r="G11" s="89" t="s">
        <v>4</v>
      </c>
      <c r="H11" s="89" t="s">
        <v>5</v>
      </c>
      <c r="I11" s="166">
        <f>+I6/I9</f>
        <v>3.6259345192059809</v>
      </c>
      <c r="J11" s="89" t="s">
        <v>6</v>
      </c>
      <c r="K11" s="20"/>
    </row>
    <row r="12" spans="1:11" ht="14.25" customHeight="1" x14ac:dyDescent="0.2">
      <c r="B12" s="89"/>
      <c r="C12" s="89"/>
      <c r="D12" s="162"/>
      <c r="E12" s="89"/>
      <c r="F12" s="89"/>
      <c r="G12" s="89"/>
      <c r="H12" s="89"/>
      <c r="I12" s="166">
        <f>+I11*3.6</f>
        <v>13.053364269141531</v>
      </c>
      <c r="J12" s="89" t="s">
        <v>173</v>
      </c>
      <c r="K12" s="20"/>
    </row>
    <row r="13" spans="1:11" ht="14.25" customHeight="1" x14ac:dyDescent="0.2">
      <c r="B13" s="89"/>
      <c r="C13" s="87"/>
      <c r="D13" s="163"/>
      <c r="E13" s="89"/>
      <c r="F13" s="89"/>
      <c r="G13" s="87" t="s">
        <v>292</v>
      </c>
      <c r="H13" s="89"/>
      <c r="I13" s="164">
        <f>1000/I11</f>
        <v>275.7909704941344</v>
      </c>
      <c r="J13" s="89" t="s">
        <v>1</v>
      </c>
      <c r="K13" s="20"/>
    </row>
    <row r="14" spans="1:11" ht="14.25" customHeight="1" x14ac:dyDescent="0.2">
      <c r="B14" s="89"/>
      <c r="C14" s="87"/>
      <c r="D14" s="162"/>
      <c r="E14" s="89"/>
      <c r="F14" s="89"/>
      <c r="G14" s="87"/>
      <c r="H14" s="89"/>
      <c r="I14" s="167">
        <f>I13/(24*60*60)</f>
        <v>3.1920251214598888E-3</v>
      </c>
      <c r="J14" s="89" t="s">
        <v>293</v>
      </c>
      <c r="K14" s="20"/>
    </row>
    <row r="15" spans="1:11" ht="14.25" customHeight="1" x14ac:dyDescent="0.2">
      <c r="C15" s="77"/>
      <c r="D15" s="77"/>
    </row>
    <row r="16" spans="1:11" ht="14.25" customHeight="1" x14ac:dyDescent="0.2">
      <c r="A16" s="77" t="s">
        <v>297</v>
      </c>
    </row>
    <row r="17" spans="1:17" ht="14.25" customHeight="1" x14ac:dyDescent="0.2">
      <c r="A17" s="77" t="s">
        <v>296</v>
      </c>
      <c r="H17" s="20"/>
      <c r="I17" s="20"/>
      <c r="J17" s="20"/>
    </row>
    <row r="18" spans="1:17" ht="14.25" customHeight="1" x14ac:dyDescent="0.2">
      <c r="H18" s="20"/>
      <c r="I18" s="20"/>
      <c r="J18" s="20"/>
    </row>
    <row r="19" spans="1:17" ht="14.25" customHeight="1" x14ac:dyDescent="0.2">
      <c r="A19" s="168"/>
      <c r="B19" s="168" t="s">
        <v>143</v>
      </c>
      <c r="C19" s="170"/>
      <c r="D19" s="171" t="s">
        <v>144</v>
      </c>
      <c r="E19" s="171" t="s">
        <v>43</v>
      </c>
      <c r="F19" s="168"/>
      <c r="G19" s="168" t="s">
        <v>145</v>
      </c>
      <c r="H19" s="169"/>
      <c r="I19" s="171" t="s">
        <v>144</v>
      </c>
      <c r="J19" s="171" t="s">
        <v>43</v>
      </c>
    </row>
    <row r="20" spans="1:17" ht="14.25" customHeight="1" x14ac:dyDescent="0.3">
      <c r="B20" s="89" t="s">
        <v>298</v>
      </c>
      <c r="C20" s="87" t="s">
        <v>299</v>
      </c>
      <c r="D20" s="161">
        <v>0</v>
      </c>
      <c r="E20" s="89" t="s">
        <v>3</v>
      </c>
      <c r="F20" s="89"/>
      <c r="G20" s="89" t="s">
        <v>0</v>
      </c>
      <c r="H20" s="89" t="s">
        <v>2</v>
      </c>
      <c r="I20" s="165">
        <f>+D23*3600+D24*60+D25</f>
        <v>3.1</v>
      </c>
      <c r="J20" s="89" t="s">
        <v>1</v>
      </c>
    </row>
    <row r="21" spans="1:17" ht="14.25" customHeight="1" x14ac:dyDescent="0.3">
      <c r="B21" s="89" t="s">
        <v>300</v>
      </c>
      <c r="C21" s="87" t="s">
        <v>301</v>
      </c>
      <c r="D21" s="160">
        <v>0</v>
      </c>
      <c r="E21" s="89" t="s">
        <v>3</v>
      </c>
      <c r="F21" s="89"/>
      <c r="G21" s="89" t="s">
        <v>302</v>
      </c>
      <c r="H21" s="89" t="s">
        <v>303</v>
      </c>
      <c r="I21" s="164">
        <f>D21+D22*I20</f>
        <v>15.5</v>
      </c>
      <c r="J21" s="89" t="s">
        <v>6</v>
      </c>
    </row>
    <row r="22" spans="1:17" ht="14.25" customHeight="1" x14ac:dyDescent="0.3">
      <c r="B22" s="89" t="s">
        <v>7</v>
      </c>
      <c r="C22" s="87" t="s">
        <v>8</v>
      </c>
      <c r="D22" s="160">
        <v>5</v>
      </c>
      <c r="E22" s="89" t="s">
        <v>9</v>
      </c>
      <c r="F22" s="89"/>
      <c r="G22" s="89" t="s">
        <v>304</v>
      </c>
      <c r="H22" s="89" t="s">
        <v>305</v>
      </c>
      <c r="I22" s="165">
        <f>(D21+I21)/2</f>
        <v>7.75</v>
      </c>
      <c r="J22" s="89" t="s">
        <v>6</v>
      </c>
    </row>
    <row r="23" spans="1:17" ht="14.25" customHeight="1" x14ac:dyDescent="0.3">
      <c r="B23" s="89" t="s">
        <v>0</v>
      </c>
      <c r="C23" s="87" t="s">
        <v>2</v>
      </c>
      <c r="D23" s="160">
        <v>0</v>
      </c>
      <c r="E23" s="89" t="s">
        <v>155</v>
      </c>
      <c r="F23" s="89"/>
      <c r="G23" s="89" t="s">
        <v>244</v>
      </c>
      <c r="H23" s="89" t="s">
        <v>306</v>
      </c>
      <c r="I23" s="166">
        <f>D20+I22*I20</f>
        <v>24.025000000000002</v>
      </c>
      <c r="J23" s="89" t="s">
        <v>3</v>
      </c>
    </row>
    <row r="24" spans="1:17" ht="14.25" customHeight="1" x14ac:dyDescent="0.2">
      <c r="B24" s="89" t="s">
        <v>0</v>
      </c>
      <c r="C24" s="87"/>
      <c r="D24" s="160">
        <v>0</v>
      </c>
      <c r="E24" s="89" t="s">
        <v>169</v>
      </c>
      <c r="F24" s="89"/>
    </row>
    <row r="25" spans="1:17" ht="14.25" customHeight="1" x14ac:dyDescent="0.2">
      <c r="B25" s="89" t="s">
        <v>0</v>
      </c>
      <c r="C25" s="87"/>
      <c r="D25" s="160">
        <v>3.1</v>
      </c>
      <c r="E25" s="89" t="s">
        <v>1</v>
      </c>
      <c r="F25" s="89"/>
    </row>
    <row r="26" spans="1:17" ht="14.25" customHeight="1" x14ac:dyDescent="0.2">
      <c r="B26" s="89"/>
      <c r="C26" s="89"/>
      <c r="D26" s="162"/>
      <c r="E26" s="89"/>
      <c r="F26" s="89"/>
    </row>
    <row r="27" spans="1:17" ht="14.25" customHeight="1" x14ac:dyDescent="0.2">
      <c r="B27" s="78"/>
      <c r="C27" s="79"/>
      <c r="D27" s="77"/>
      <c r="G27" s="20"/>
      <c r="H27" s="20"/>
      <c r="I27" s="20"/>
    </row>
    <row r="28" spans="1:17" x14ac:dyDescent="0.2">
      <c r="A28" s="77" t="s">
        <v>307</v>
      </c>
    </row>
    <row r="29" spans="1:17" x14ac:dyDescent="0.2">
      <c r="A29" s="77" t="s">
        <v>296</v>
      </c>
      <c r="H29" s="20"/>
      <c r="I29" s="20"/>
      <c r="J29" s="20"/>
    </row>
    <row r="30" spans="1:17" x14ac:dyDescent="0.2">
      <c r="H30" s="20"/>
      <c r="I30" s="20"/>
      <c r="J30" s="20"/>
      <c r="L30" s="20"/>
      <c r="M30" s="20"/>
      <c r="N30" s="20"/>
      <c r="O30" s="20"/>
      <c r="P30" s="20"/>
      <c r="Q30" s="20"/>
    </row>
    <row r="31" spans="1:17" x14ac:dyDescent="0.2">
      <c r="A31" s="168"/>
      <c r="B31" s="168" t="s">
        <v>143</v>
      </c>
      <c r="C31" s="170"/>
      <c r="D31" s="171" t="s">
        <v>144</v>
      </c>
      <c r="E31" s="171" t="s">
        <v>43</v>
      </c>
      <c r="F31" s="168"/>
      <c r="G31" s="168" t="s">
        <v>145</v>
      </c>
      <c r="H31" s="169"/>
      <c r="I31" s="171" t="s">
        <v>144</v>
      </c>
      <c r="J31" s="171" t="s">
        <v>43</v>
      </c>
      <c r="L31" s="120"/>
      <c r="M31" s="120"/>
      <c r="N31" s="120"/>
      <c r="O31" s="120"/>
      <c r="P31" s="120"/>
      <c r="Q31" s="20"/>
    </row>
    <row r="32" spans="1:17" ht="15.75" x14ac:dyDescent="0.3">
      <c r="B32" s="89" t="s">
        <v>308</v>
      </c>
      <c r="C32" s="87" t="s">
        <v>299</v>
      </c>
      <c r="D32" s="161">
        <v>10</v>
      </c>
      <c r="E32" s="89" t="s">
        <v>3</v>
      </c>
      <c r="F32" s="89"/>
      <c r="G32" s="89" t="s">
        <v>0</v>
      </c>
      <c r="H32" s="89" t="s">
        <v>2</v>
      </c>
      <c r="I32" s="178">
        <f>SQRT(2*D32/D34)</f>
        <v>1.4142135623730951</v>
      </c>
      <c r="J32" s="89" t="s">
        <v>1</v>
      </c>
      <c r="L32" s="20"/>
      <c r="M32" s="20"/>
      <c r="N32" s="20"/>
      <c r="O32" s="100"/>
      <c r="P32" s="20"/>
      <c r="Q32" s="20"/>
    </row>
    <row r="33" spans="1:19" ht="15.75" x14ac:dyDescent="0.3">
      <c r="B33" s="89" t="s">
        <v>300</v>
      </c>
      <c r="C33" s="87" t="s">
        <v>301</v>
      </c>
      <c r="D33" s="159">
        <v>0</v>
      </c>
      <c r="E33" s="89" t="s">
        <v>3</v>
      </c>
      <c r="F33" s="89"/>
      <c r="G33" s="89" t="s">
        <v>302</v>
      </c>
      <c r="H33" s="89" t="s">
        <v>303</v>
      </c>
      <c r="I33" s="178">
        <f>SQRT(2*D34*D32)</f>
        <v>14.142135623730951</v>
      </c>
      <c r="J33" s="89" t="s">
        <v>6</v>
      </c>
      <c r="L33" s="20"/>
      <c r="M33" s="20"/>
      <c r="N33" s="20"/>
      <c r="O33" s="100"/>
      <c r="P33" s="20"/>
      <c r="Q33" s="20"/>
    </row>
    <row r="34" spans="1:19" ht="15.75" x14ac:dyDescent="0.3">
      <c r="B34" s="89" t="s">
        <v>7</v>
      </c>
      <c r="C34" s="87" t="s">
        <v>8</v>
      </c>
      <c r="D34" s="160">
        <v>10</v>
      </c>
      <c r="E34" s="89" t="s">
        <v>9</v>
      </c>
      <c r="F34" s="89"/>
      <c r="G34" s="89" t="s">
        <v>304</v>
      </c>
      <c r="H34" s="89" t="s">
        <v>305</v>
      </c>
      <c r="I34" s="178">
        <f>(D33+I33)/2</f>
        <v>7.0710678118654755</v>
      </c>
      <c r="J34" s="89" t="s">
        <v>6</v>
      </c>
    </row>
    <row r="35" spans="1:19" x14ac:dyDescent="0.2">
      <c r="B35" s="89"/>
      <c r="C35" s="87"/>
      <c r="D35" s="77"/>
      <c r="E35" s="89"/>
      <c r="F35" s="89"/>
      <c r="G35" s="89"/>
      <c r="H35" s="89"/>
      <c r="J35" s="89"/>
      <c r="O35" s="121"/>
    </row>
    <row r="36" spans="1:19" x14ac:dyDescent="0.2">
      <c r="B36" s="89"/>
      <c r="C36" s="87"/>
      <c r="D36" s="77"/>
      <c r="E36" s="89"/>
      <c r="F36" s="89"/>
      <c r="O36" s="121"/>
    </row>
    <row r="37" spans="1:19" x14ac:dyDescent="0.2">
      <c r="B37" s="89"/>
      <c r="C37" s="87"/>
      <c r="D37" s="77"/>
      <c r="E37" s="89"/>
      <c r="F37" s="89"/>
      <c r="O37" s="121"/>
    </row>
    <row r="38" spans="1:19" x14ac:dyDescent="0.2">
      <c r="O38" s="121"/>
    </row>
    <row r="40" spans="1:19" x14ac:dyDescent="0.2">
      <c r="J40" s="48"/>
      <c r="O40" s="121"/>
    </row>
    <row r="45" spans="1:19" s="79" customFormat="1" x14ac:dyDescent="0.2">
      <c r="A45" s="77"/>
      <c r="B45" s="77"/>
      <c r="C45" s="78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s="79" customFormat="1" x14ac:dyDescent="0.2">
      <c r="A46" s="77"/>
      <c r="B46" s="77"/>
      <c r="C46" s="78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s="79" customFormat="1" x14ac:dyDescent="0.2">
      <c r="A47" s="77"/>
      <c r="B47" s="77"/>
      <c r="C47" s="78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62" spans="3:5" x14ac:dyDescent="0.2">
      <c r="E62" s="122"/>
    </row>
    <row r="63" spans="3:5" x14ac:dyDescent="0.2">
      <c r="C63" s="123"/>
      <c r="E63" s="122"/>
    </row>
    <row r="64" spans="3:5" x14ac:dyDescent="0.2">
      <c r="C64" s="123"/>
    </row>
    <row r="75" spans="2:2" x14ac:dyDescent="0.2">
      <c r="B75" s="48"/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Kniebeuge</vt:lpstr>
      <vt:lpstr>Leistung</vt:lpstr>
      <vt:lpstr>Formeln</vt:lpstr>
      <vt:lpstr>Geradengleichung</vt:lpstr>
      <vt:lpstr>s - v- a</vt:lpstr>
      <vt:lpstr>a - v- s</vt:lpstr>
      <vt:lpstr>Geschw. Laufen</vt:lpstr>
      <vt:lpstr>_c</vt:lpstr>
      <vt:lpstr>d</vt:lpstr>
      <vt:lpstr>dt</vt:lpstr>
      <vt:lpstr>k</vt:lpstr>
    </vt:vector>
  </TitlesOfParts>
  <Company>UIBK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Windows-Benutzer</cp:lastModifiedBy>
  <dcterms:created xsi:type="dcterms:W3CDTF">2008-03-12T08:09:08Z</dcterms:created>
  <dcterms:modified xsi:type="dcterms:W3CDTF">2021-01-20T09:12:44Z</dcterms:modified>
</cp:coreProperties>
</file>